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.xml" ContentType="application/vnd.ms-excel.controlproperti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codeName="DieseArbeitsmappe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E:\Dokumente\Meerwasser\ICP Analyse\IB\ReefCalculator\"/>
    </mc:Choice>
  </mc:AlternateContent>
  <xr:revisionPtr revIDLastSave="0" documentId="13_ncr:1_{E9E2F898-E099-4101-9D5F-822325B17A23}" xr6:coauthVersionLast="47" xr6:coauthVersionMax="47" xr10:uidLastSave="{00000000-0000-0000-0000-000000000000}"/>
  <bookViews>
    <workbookView xWindow="-120" yWindow="-120" windowWidth="29040" windowHeight="15840" tabRatio="617" xr2:uid="{00000000-000D-0000-FFFF-FFFF00000000}"/>
  </bookViews>
  <sheets>
    <sheet name="Beschreibung" sheetId="16" r:id="rId1"/>
    <sheet name="Messergebnisse" sheetId="12" r:id="rId2"/>
    <sheet name="0.5% IB" sheetId="10" r:id="rId3"/>
    <sheet name="IB" sheetId="8" r:id="rId4"/>
    <sheet name="Hauptelemente" sheetId="11" r:id="rId5"/>
    <sheet name="Ausgleich Defizit" sheetId="14" r:id="rId6"/>
    <sheet name="Ammonium_Ammoniak" sheetId="15" state="hidden" r:id="rId7"/>
    <sheet name="Salze" sheetId="13" r:id="rId8"/>
    <sheet name="Atommassen Wertigkeit" sheetId="9" r:id="rId9"/>
  </sheets>
  <calcPr calcId="191029"/>
</workbook>
</file>

<file path=xl/calcChain.xml><?xml version="1.0" encoding="utf-8"?>
<calcChain xmlns="http://schemas.openxmlformats.org/spreadsheetml/2006/main">
  <c r="C5" i="10" l="1"/>
  <c r="E11" i="8"/>
  <c r="C13" i="10"/>
  <c r="D7" i="11"/>
  <c r="F7" i="11"/>
  <c r="O18" i="11" l="1"/>
  <c r="M18" i="11"/>
  <c r="I18" i="11"/>
  <c r="K18" i="11"/>
  <c r="G18" i="11"/>
  <c r="F18" i="11" s="1"/>
  <c r="C18" i="11"/>
  <c r="D18" i="11"/>
  <c r="H17" i="13"/>
  <c r="N17" i="13" s="1"/>
  <c r="L17" i="13"/>
  <c r="E27" i="14"/>
  <c r="H4" i="13"/>
  <c r="L4" i="13"/>
  <c r="L18" i="11" l="1"/>
  <c r="J18" i="11"/>
  <c r="H14" i="13"/>
  <c r="H13" i="13"/>
  <c r="C25" i="15"/>
  <c r="C24" i="15"/>
  <c r="H24" i="15"/>
  <c r="C7" i="15"/>
  <c r="C8" i="15" s="1"/>
  <c r="R25" i="15" l="1"/>
  <c r="R26" i="15"/>
  <c r="R27" i="15"/>
  <c r="R28" i="15"/>
  <c r="R29" i="15"/>
  <c r="R30" i="15"/>
  <c r="Q25" i="15"/>
  <c r="Q26" i="15"/>
  <c r="Q27" i="15"/>
  <c r="Q28" i="15"/>
  <c r="Q29" i="15"/>
  <c r="Q30" i="15"/>
  <c r="P25" i="15"/>
  <c r="P26" i="15"/>
  <c r="P27" i="15"/>
  <c r="P28" i="15"/>
  <c r="P29" i="15"/>
  <c r="P30" i="15"/>
  <c r="O25" i="15"/>
  <c r="O26" i="15"/>
  <c r="O27" i="15"/>
  <c r="O28" i="15"/>
  <c r="O29" i="15"/>
  <c r="O30" i="15"/>
  <c r="N25" i="15"/>
  <c r="N26" i="15"/>
  <c r="N27" i="15"/>
  <c r="N28" i="15"/>
  <c r="N29" i="15"/>
  <c r="N30" i="15"/>
  <c r="M25" i="15"/>
  <c r="M26" i="15"/>
  <c r="M27" i="15"/>
  <c r="M28" i="15"/>
  <c r="M29" i="15"/>
  <c r="M30" i="15"/>
  <c r="L25" i="15"/>
  <c r="L26" i="15"/>
  <c r="L27" i="15"/>
  <c r="L28" i="15"/>
  <c r="L29" i="15"/>
  <c r="L30" i="15"/>
  <c r="K25" i="15"/>
  <c r="K26" i="15"/>
  <c r="K27" i="15"/>
  <c r="K28" i="15"/>
  <c r="K29" i="15"/>
  <c r="K30" i="15"/>
  <c r="J25" i="15"/>
  <c r="J26" i="15"/>
  <c r="J27" i="15"/>
  <c r="J28" i="15"/>
  <c r="J29" i="15"/>
  <c r="J30" i="15"/>
  <c r="I25" i="15"/>
  <c r="I26" i="15"/>
  <c r="I27" i="15"/>
  <c r="I28" i="15"/>
  <c r="I29" i="15"/>
  <c r="I30" i="15"/>
  <c r="H25" i="15"/>
  <c r="H26" i="15"/>
  <c r="H27" i="15"/>
  <c r="H28" i="15"/>
  <c r="H29" i="15"/>
  <c r="H30" i="15"/>
  <c r="I24" i="15"/>
  <c r="J24" i="15"/>
  <c r="K24" i="15"/>
  <c r="L24" i="15"/>
  <c r="M24" i="15"/>
  <c r="N24" i="15"/>
  <c r="O24" i="15"/>
  <c r="P24" i="15"/>
  <c r="Q24" i="15"/>
  <c r="R24" i="15"/>
  <c r="C10" i="15" l="1"/>
  <c r="C11" i="15" s="1"/>
  <c r="E23" i="14" l="1"/>
  <c r="E21" i="14"/>
  <c r="K23" i="14" l="1"/>
  <c r="K22" i="14"/>
  <c r="N23" i="14"/>
  <c r="N22" i="14"/>
  <c r="E22" i="14"/>
  <c r="N21" i="14"/>
  <c r="K21" i="14" l="1"/>
  <c r="K20" i="14" l="1"/>
  <c r="N20" i="14"/>
  <c r="E20" i="14"/>
  <c r="H5" i="13"/>
  <c r="K7" i="14" l="1"/>
  <c r="K8" i="14"/>
  <c r="K9" i="14"/>
  <c r="K11" i="14"/>
  <c r="K10" i="14"/>
  <c r="K12" i="14"/>
  <c r="K13" i="14"/>
  <c r="K6" i="14"/>
  <c r="N13" i="14"/>
  <c r="N12" i="14"/>
  <c r="N10" i="14"/>
  <c r="N11" i="14"/>
  <c r="N9" i="14"/>
  <c r="N8" i="14"/>
  <c r="N7" i="14"/>
  <c r="N6" i="14"/>
  <c r="L16" i="13"/>
  <c r="L15" i="13"/>
  <c r="L12" i="13"/>
  <c r="L13" i="13"/>
  <c r="L11" i="13"/>
  <c r="L10" i="13"/>
  <c r="L9" i="13"/>
  <c r="L8" i="13"/>
  <c r="L7" i="13"/>
  <c r="L5" i="13"/>
  <c r="N5" i="13" s="1"/>
  <c r="R19" i="14" s="1"/>
  <c r="L6" i="13"/>
  <c r="E12" i="14" l="1"/>
  <c r="H9" i="13"/>
  <c r="N9" i="13" s="1"/>
  <c r="S19" i="14" s="1"/>
  <c r="H6" i="13"/>
  <c r="N6" i="13" s="1"/>
  <c r="E7" i="14"/>
  <c r="G10" i="8"/>
  <c r="N4" i="13" l="1"/>
  <c r="G29" i="8"/>
  <c r="G28" i="8"/>
  <c r="G27" i="8"/>
  <c r="G26" i="8"/>
  <c r="G25" i="8"/>
  <c r="G24" i="8"/>
  <c r="G23" i="8"/>
  <c r="G22" i="8"/>
  <c r="G21" i="8"/>
  <c r="G20" i="8"/>
  <c r="G15" i="8"/>
  <c r="G14" i="8"/>
  <c r="G13" i="8"/>
  <c r="G12" i="8"/>
  <c r="G11" i="8"/>
  <c r="N13" i="13" l="1"/>
  <c r="G17" i="9" l="1"/>
  <c r="E2" i="14" l="1"/>
  <c r="E13" i="14"/>
  <c r="E10" i="14"/>
  <c r="E11" i="14"/>
  <c r="E9" i="14"/>
  <c r="E8" i="14"/>
  <c r="E6" i="14"/>
  <c r="H16" i="13"/>
  <c r="N16" i="13" s="1"/>
  <c r="H12" i="13"/>
  <c r="N12" i="13" s="1"/>
  <c r="H11" i="13"/>
  <c r="N11" i="13" s="1"/>
  <c r="H10" i="13"/>
  <c r="N10" i="13" s="1"/>
  <c r="H8" i="13"/>
  <c r="N8" i="13" s="1"/>
  <c r="H7" i="13"/>
  <c r="N7" i="13" s="1"/>
  <c r="H15" i="13" l="1"/>
  <c r="N15" i="13" l="1"/>
  <c r="C14" i="10"/>
  <c r="E14" i="10" s="1"/>
  <c r="E29" i="11" l="1"/>
  <c r="E28" i="11"/>
  <c r="E27" i="11"/>
  <c r="E26" i="11"/>
  <c r="E25" i="11"/>
  <c r="E24" i="11"/>
  <c r="E23" i="11"/>
  <c r="D21" i="12" l="1"/>
  <c r="O24" i="8"/>
  <c r="O11" i="8"/>
  <c r="O23" i="8"/>
  <c r="O25" i="8"/>
  <c r="O22" i="8"/>
  <c r="O20" i="8"/>
  <c r="O14" i="8"/>
  <c r="O13" i="8"/>
  <c r="O12" i="8"/>
  <c r="O10" i="8"/>
  <c r="O6" i="8"/>
  <c r="O4" i="8"/>
  <c r="O17" i="11"/>
  <c r="O16" i="11"/>
  <c r="O15" i="11"/>
  <c r="O14" i="11"/>
  <c r="O12" i="11"/>
  <c r="O11" i="11"/>
  <c r="O10" i="11"/>
  <c r="O9" i="11"/>
  <c r="O8" i="11"/>
  <c r="F8" i="11"/>
  <c r="F15" i="11"/>
  <c r="K7" i="11"/>
  <c r="F17" i="11"/>
  <c r="D17" i="11"/>
  <c r="F16" i="11"/>
  <c r="D16" i="11"/>
  <c r="F14" i="11"/>
  <c r="D14" i="11"/>
  <c r="F9" i="11"/>
  <c r="D9" i="11"/>
  <c r="D10" i="11"/>
  <c r="F10" i="11"/>
  <c r="O13" i="11"/>
  <c r="D15" i="11"/>
  <c r="M7" i="11" l="1"/>
  <c r="L7" i="11" s="1"/>
  <c r="K9" i="11"/>
  <c r="K13" i="11"/>
  <c r="K17" i="11"/>
  <c r="K8" i="11"/>
  <c r="M9" i="11" s="1"/>
  <c r="K12" i="11"/>
  <c r="K10" i="11"/>
  <c r="F20" i="14" s="1"/>
  <c r="G20" i="14" s="1"/>
  <c r="K14" i="11"/>
  <c r="K15" i="11"/>
  <c r="K16" i="11"/>
  <c r="K11" i="11"/>
  <c r="I8" i="11"/>
  <c r="O7" i="11"/>
  <c r="H3" i="11" s="1"/>
  <c r="M8" i="11"/>
  <c r="I7" i="11"/>
  <c r="J7" i="11" s="1"/>
  <c r="P7" i="11" l="1"/>
  <c r="F22" i="14"/>
  <c r="G22" i="14" s="1"/>
  <c r="J22" i="14" s="1"/>
  <c r="J20" i="14"/>
  <c r="M20" i="14"/>
  <c r="F7" i="14"/>
  <c r="M29" i="11"/>
  <c r="M25" i="11"/>
  <c r="M26" i="11"/>
  <c r="M28" i="11"/>
  <c r="M27" i="11"/>
  <c r="M23" i="11"/>
  <c r="M24" i="11"/>
  <c r="M22" i="11"/>
  <c r="I9" i="11"/>
  <c r="J8" i="11"/>
  <c r="L8" i="11"/>
  <c r="M10" i="11"/>
  <c r="P8" i="11"/>
  <c r="E25" i="8"/>
  <c r="P25" i="8" s="1"/>
  <c r="E24" i="8"/>
  <c r="E22" i="8"/>
  <c r="E20" i="8"/>
  <c r="H20" i="8" s="1"/>
  <c r="E14" i="8"/>
  <c r="E13" i="8"/>
  <c r="E12" i="8"/>
  <c r="P11" i="8"/>
  <c r="E10" i="8"/>
  <c r="E4" i="8"/>
  <c r="E6" i="8"/>
  <c r="E5" i="8"/>
  <c r="C15" i="10"/>
  <c r="E23" i="8" s="1"/>
  <c r="C12" i="10"/>
  <c r="C7" i="10"/>
  <c r="C6" i="10"/>
  <c r="C4" i="10"/>
  <c r="F27" i="14" l="1"/>
  <c r="G27" i="14" s="1"/>
  <c r="M22" i="14"/>
  <c r="H22" i="14"/>
  <c r="G7" i="14"/>
  <c r="H7" i="14" s="1"/>
  <c r="E17" i="8"/>
  <c r="P10" i="8"/>
  <c r="H10" i="8"/>
  <c r="I10" i="8" s="1"/>
  <c r="L10" i="11"/>
  <c r="L9" i="11"/>
  <c r="I10" i="11"/>
  <c r="P9" i="11"/>
  <c r="J9" i="11"/>
  <c r="F11" i="11"/>
  <c r="F12" i="11"/>
  <c r="F13" i="11"/>
  <c r="D8" i="11"/>
  <c r="D11" i="11"/>
  <c r="D12" i="11"/>
  <c r="D13" i="11"/>
  <c r="M27" i="14" l="1"/>
  <c r="H27" i="14"/>
  <c r="J27" i="14"/>
  <c r="M7" i="14"/>
  <c r="J7" i="14"/>
  <c r="Q7" i="14" s="1"/>
  <c r="I11" i="11"/>
  <c r="P10" i="11"/>
  <c r="J10" i="11"/>
  <c r="M11" i="11"/>
  <c r="G19" i="9"/>
  <c r="L11" i="11" l="1"/>
  <c r="I12" i="11"/>
  <c r="P11" i="11"/>
  <c r="J11" i="11"/>
  <c r="M12" i="11"/>
  <c r="O8" i="8"/>
  <c r="L2" i="8"/>
  <c r="I13" i="11" l="1"/>
  <c r="M13" i="11"/>
  <c r="P12" i="11"/>
  <c r="J12" i="11"/>
  <c r="L12" i="11"/>
  <c r="L13" i="11" l="1"/>
  <c r="I14" i="11"/>
  <c r="P13" i="11"/>
  <c r="J13" i="11"/>
  <c r="M14" i="11"/>
  <c r="P14" i="11" l="1"/>
  <c r="I15" i="11"/>
  <c r="L14" i="11"/>
  <c r="M15" i="11"/>
  <c r="J14" i="11"/>
  <c r="P15" i="11" l="1"/>
  <c r="J15" i="11"/>
  <c r="L15" i="11"/>
  <c r="M16" i="11"/>
  <c r="I16" i="11"/>
  <c r="G23" i="9"/>
  <c r="G22" i="9"/>
  <c r="G21" i="9"/>
  <c r="G20" i="9"/>
  <c r="G18" i="9"/>
  <c r="G16" i="9"/>
  <c r="K15" i="9"/>
  <c r="G15" i="9"/>
  <c r="G14" i="9"/>
  <c r="D14" i="10" s="1"/>
  <c r="G13" i="9"/>
  <c r="D13" i="10" s="1"/>
  <c r="G12" i="9"/>
  <c r="D12" i="10" s="1"/>
  <c r="E12" i="10" s="1"/>
  <c r="G10" i="9"/>
  <c r="G9" i="9"/>
  <c r="G8" i="9"/>
  <c r="G7" i="9"/>
  <c r="G6" i="9"/>
  <c r="D5" i="10" s="1"/>
  <c r="E5" i="10" s="1"/>
  <c r="G5" i="9"/>
  <c r="D4" i="10" s="1"/>
  <c r="E4" i="10" s="1"/>
  <c r="L29" i="8"/>
  <c r="M29" i="8" s="1"/>
  <c r="P29" i="8"/>
  <c r="H29" i="8"/>
  <c r="I29" i="8" s="1"/>
  <c r="L28" i="8"/>
  <c r="M28" i="8" s="1"/>
  <c r="P28" i="8"/>
  <c r="H28" i="8"/>
  <c r="I28" i="8" s="1"/>
  <c r="L27" i="8"/>
  <c r="M27" i="8" s="1"/>
  <c r="P27" i="8"/>
  <c r="H27" i="8"/>
  <c r="I27" i="8" s="1"/>
  <c r="P26" i="8"/>
  <c r="H26" i="8"/>
  <c r="I26" i="8" s="1"/>
  <c r="H25" i="8"/>
  <c r="I25" i="8" s="1"/>
  <c r="P24" i="8"/>
  <c r="H24" i="8"/>
  <c r="I24" i="8" s="1"/>
  <c r="P22" i="8"/>
  <c r="H22" i="8"/>
  <c r="I22" i="8" s="1"/>
  <c r="P20" i="8"/>
  <c r="I20" i="8"/>
  <c r="O17" i="8"/>
  <c r="P15" i="8"/>
  <c r="H15" i="8"/>
  <c r="I15" i="8" s="1"/>
  <c r="P14" i="8"/>
  <c r="H14" i="8"/>
  <c r="I14" i="8" s="1"/>
  <c r="P13" i="8"/>
  <c r="H13" i="8"/>
  <c r="I13" i="8" s="1"/>
  <c r="P12" i="8"/>
  <c r="H12" i="8"/>
  <c r="I12" i="8" s="1"/>
  <c r="H11" i="8"/>
  <c r="I11" i="8" s="1"/>
  <c r="L8" i="8"/>
  <c r="P6" i="8"/>
  <c r="L5" i="8"/>
  <c r="M5" i="8" s="1"/>
  <c r="P5" i="8"/>
  <c r="M4" i="8"/>
  <c r="P4" i="8"/>
  <c r="D15" i="10"/>
  <c r="E15" i="10" s="1"/>
  <c r="D7" i="10"/>
  <c r="E7" i="10" s="1"/>
  <c r="D6" i="10"/>
  <c r="E6" i="10" s="1"/>
  <c r="L15" i="8" l="1"/>
  <c r="M15" i="8" s="1"/>
  <c r="L26" i="8"/>
  <c r="M26" i="8" s="1"/>
  <c r="O21" i="8"/>
  <c r="O31" i="8" s="1"/>
  <c r="O33" i="8" s="1"/>
  <c r="O34" i="8" s="1"/>
  <c r="E21" i="8"/>
  <c r="E9" i="10"/>
  <c r="M17" i="11"/>
  <c r="L16" i="11"/>
  <c r="P16" i="11"/>
  <c r="J16" i="11"/>
  <c r="I17" i="11"/>
  <c r="L14" i="8"/>
  <c r="M14" i="8" s="1"/>
  <c r="F11" i="14" s="1"/>
  <c r="G11" i="14" s="1"/>
  <c r="L10" i="8"/>
  <c r="M10" i="8" s="1"/>
  <c r="L11" i="8"/>
  <c r="M11" i="8" s="1"/>
  <c r="F6" i="14" s="1"/>
  <c r="G6" i="14" s="1"/>
  <c r="I17" i="8"/>
  <c r="L6" i="8"/>
  <c r="M6" i="8" s="1"/>
  <c r="L24" i="8"/>
  <c r="M24" i="8" s="1"/>
  <c r="F12" i="14" s="1"/>
  <c r="L20" i="8"/>
  <c r="M20" i="8" s="1"/>
  <c r="L13" i="8"/>
  <c r="M13" i="8" s="1"/>
  <c r="F23" i="14" s="1"/>
  <c r="H23" i="8"/>
  <c r="I23" i="8" s="1"/>
  <c r="L22" i="8"/>
  <c r="M22" i="8" s="1"/>
  <c r="F10" i="14" s="1"/>
  <c r="L23" i="8"/>
  <c r="L25" i="8"/>
  <c r="P23" i="8"/>
  <c r="L12" i="8"/>
  <c r="M12" i="8" s="1"/>
  <c r="F8" i="14" s="1"/>
  <c r="G8" i="14" s="1"/>
  <c r="L21" i="8" l="1"/>
  <c r="F21" i="14"/>
  <c r="E31" i="8"/>
  <c r="E33" i="8" s="1"/>
  <c r="E34" i="8" s="1"/>
  <c r="P21" i="8"/>
  <c r="M21" i="8"/>
  <c r="H21" i="8"/>
  <c r="I21" i="8" s="1"/>
  <c r="I31" i="8" s="1"/>
  <c r="J4" i="8" s="1"/>
  <c r="E13" i="10"/>
  <c r="E17" i="10" s="1"/>
  <c r="C19" i="10" s="1"/>
  <c r="M8" i="14"/>
  <c r="J8" i="14"/>
  <c r="Q8" i="14" s="1"/>
  <c r="M11" i="14"/>
  <c r="J11" i="14"/>
  <c r="Q11" i="14" s="1"/>
  <c r="H8" i="14"/>
  <c r="H11" i="14"/>
  <c r="J12" i="8"/>
  <c r="J10" i="8"/>
  <c r="M25" i="8"/>
  <c r="F13" i="14" s="1"/>
  <c r="G13" i="14" s="1"/>
  <c r="M13" i="14" s="1"/>
  <c r="G12" i="14"/>
  <c r="J12" i="14" s="1"/>
  <c r="F9" i="14"/>
  <c r="G10" i="14"/>
  <c r="P17" i="11"/>
  <c r="L17" i="11"/>
  <c r="J17" i="11"/>
  <c r="L31" i="8"/>
  <c r="L17" i="8"/>
  <c r="J14" i="8"/>
  <c r="M23" i="8"/>
  <c r="J13" i="8"/>
  <c r="J15" i="8"/>
  <c r="J11" i="8"/>
  <c r="J5" i="8" l="1"/>
  <c r="G23" i="14"/>
  <c r="S20" i="14"/>
  <c r="G21" i="14"/>
  <c r="R20" i="14"/>
  <c r="J6" i="14"/>
  <c r="Q6" i="14" s="1"/>
  <c r="M10" i="14"/>
  <c r="J10" i="14"/>
  <c r="M12" i="14"/>
  <c r="Q12" i="14"/>
  <c r="H10" i="14"/>
  <c r="H12" i="14"/>
  <c r="G9" i="14"/>
  <c r="J9" i="14" s="1"/>
  <c r="Q9" i="14" s="1"/>
  <c r="L33" i="8"/>
  <c r="L34" i="8" s="1"/>
  <c r="J17" i="8"/>
  <c r="J21" i="8"/>
  <c r="J20" i="8"/>
  <c r="J22" i="8"/>
  <c r="J26" i="8"/>
  <c r="J24" i="8"/>
  <c r="J29" i="8"/>
  <c r="J28" i="8"/>
  <c r="J25" i="8"/>
  <c r="J27" i="8"/>
  <c r="J23" i="8"/>
  <c r="H23" i="14" l="1"/>
  <c r="J23" i="14"/>
  <c r="M23" i="14"/>
  <c r="H6" i="14"/>
  <c r="M6" i="14"/>
  <c r="M21" i="14"/>
  <c r="J21" i="14"/>
  <c r="Q10" i="14"/>
  <c r="Q4" i="14"/>
  <c r="J13" i="14"/>
  <c r="Q13" i="14" s="1"/>
  <c r="H9" i="14"/>
  <c r="M9" i="14"/>
  <c r="H13" i="14"/>
  <c r="J31" i="8"/>
  <c r="Q5" i="14" l="1"/>
  <c r="J15" i="14"/>
  <c r="M15" i="14"/>
  <c r="Q3" i="14" l="1"/>
  <c r="R3" i="14" s="1"/>
  <c r="R5" i="14" s="1"/>
  <c r="S5" i="14" s="1"/>
  <c r="R6" i="14" l="1"/>
  <c r="S6" i="14" s="1"/>
  <c r="R12" i="14"/>
  <c r="S12" i="14" s="1"/>
  <c r="R13" i="14"/>
  <c r="S13" i="14" s="1"/>
  <c r="R8" i="14"/>
  <c r="S8" i="14" s="1"/>
  <c r="R4" i="14"/>
  <c r="S4" i="14" s="1"/>
  <c r="R9" i="14"/>
  <c r="S9" i="14" s="1"/>
  <c r="R11" i="14"/>
  <c r="S11" i="14" s="1"/>
  <c r="R10" i="14"/>
  <c r="S10" i="14" s="1"/>
  <c r="R7" i="14"/>
  <c r="S7" i="14" s="1"/>
  <c r="H20" i="14"/>
  <c r="H21" i="14" l="1"/>
</calcChain>
</file>

<file path=xl/sharedStrings.xml><?xml version="1.0" encoding="utf-8"?>
<sst xmlns="http://schemas.openxmlformats.org/spreadsheetml/2006/main" count="423" uniqueCount="222">
  <si>
    <t>Na</t>
  </si>
  <si>
    <t>Ca</t>
  </si>
  <si>
    <t>Mg</t>
  </si>
  <si>
    <t>Sr</t>
  </si>
  <si>
    <t>B</t>
  </si>
  <si>
    <t>Br</t>
  </si>
  <si>
    <t>Li</t>
  </si>
  <si>
    <t>I</t>
  </si>
  <si>
    <t>Cl</t>
  </si>
  <si>
    <t>K</t>
  </si>
  <si>
    <t>F</t>
  </si>
  <si>
    <t>Kationen</t>
  </si>
  <si>
    <t>Anionen</t>
  </si>
  <si>
    <t>mmol(eq)/l</t>
  </si>
  <si>
    <t>Konzentration in
mmol/l</t>
  </si>
  <si>
    <t>Element</t>
  </si>
  <si>
    <t>Lithium</t>
  </si>
  <si>
    <t>Natrium</t>
  </si>
  <si>
    <t>Kalium</t>
  </si>
  <si>
    <t>Calcium</t>
  </si>
  <si>
    <t>Magnesium</t>
  </si>
  <si>
    <t>Strontium</t>
  </si>
  <si>
    <t>Sulfat</t>
  </si>
  <si>
    <t>Nitrat</t>
  </si>
  <si>
    <t>Bor</t>
  </si>
  <si>
    <t>Hydrogencarbonat</t>
  </si>
  <si>
    <t>Nitrit</t>
  </si>
  <si>
    <r>
      <t>SO</t>
    </r>
    <r>
      <rPr>
        <vertAlign val="subscript"/>
        <sz val="11"/>
        <color theme="1"/>
        <rFont val="Calibri"/>
        <family val="2"/>
        <scheme val="minor"/>
      </rPr>
      <t>4</t>
    </r>
  </si>
  <si>
    <r>
      <t>NO</t>
    </r>
    <r>
      <rPr>
        <vertAlign val="subscript"/>
        <sz val="11"/>
        <color theme="1"/>
        <rFont val="Calibri"/>
        <family val="2"/>
        <scheme val="minor"/>
      </rPr>
      <t>3</t>
    </r>
  </si>
  <si>
    <r>
      <t>NO</t>
    </r>
    <r>
      <rPr>
        <vertAlign val="subscript"/>
        <sz val="11"/>
        <color theme="1"/>
        <rFont val="Calibri"/>
        <family val="2"/>
        <scheme val="minor"/>
      </rPr>
      <t>2</t>
    </r>
  </si>
  <si>
    <t>Element-symbol</t>
  </si>
  <si>
    <t>Molmasse in mg/mmol (=g/mol)</t>
  </si>
  <si>
    <t>Chlor</t>
  </si>
  <si>
    <t>A</t>
  </si>
  <si>
    <t>C</t>
  </si>
  <si>
    <t>D</t>
  </si>
  <si>
    <t>E</t>
  </si>
  <si>
    <t>G</t>
  </si>
  <si>
    <t>H</t>
  </si>
  <si>
    <t>Brom</t>
  </si>
  <si>
    <t>Phosphat</t>
  </si>
  <si>
    <t>Iod</t>
  </si>
  <si>
    <t>Ladung (+)</t>
  </si>
  <si>
    <t>Ladung (-)</t>
  </si>
  <si>
    <r>
      <t>HCO</t>
    </r>
    <r>
      <rPr>
        <vertAlign val="subscript"/>
        <sz val="11"/>
        <color theme="1"/>
        <rFont val="Calibri"/>
        <family val="2"/>
        <scheme val="minor"/>
      </rPr>
      <t>3</t>
    </r>
  </si>
  <si>
    <r>
      <t>PO</t>
    </r>
    <r>
      <rPr>
        <vertAlign val="subscript"/>
        <sz val="11"/>
        <color theme="1"/>
        <rFont val="Calibri"/>
        <family val="2"/>
        <scheme val="minor"/>
      </rPr>
      <t>4</t>
    </r>
  </si>
  <si>
    <t>ΔIB</t>
  </si>
  <si>
    <t>Äquivalenz-
konzentration in
mmol(eq)/l</t>
  </si>
  <si>
    <t>Analysewert in
mg/l</t>
  </si>
  <si>
    <t>Äquivalenz
konzentration in
%</t>
  </si>
  <si>
    <t>Ion</t>
  </si>
  <si>
    <t>Symbol</t>
  </si>
  <si>
    <t>M in g/mol</t>
  </si>
  <si>
    <t>z</t>
  </si>
  <si>
    <t>Ammonium</t>
  </si>
  <si>
    <t>Chlorid</t>
  </si>
  <si>
    <r>
      <t>Ca</t>
    </r>
    <r>
      <rPr>
        <vertAlign val="superscript"/>
        <sz val="11"/>
        <rFont val="Calibri"/>
        <family val="2"/>
        <scheme val="minor"/>
      </rPr>
      <t xml:space="preserve">2+ </t>
    </r>
  </si>
  <si>
    <r>
      <t>Mg</t>
    </r>
    <r>
      <rPr>
        <vertAlign val="superscript"/>
        <sz val="11"/>
        <rFont val="Calibri"/>
        <family val="2"/>
        <scheme val="minor"/>
      </rPr>
      <t xml:space="preserve">2+ </t>
    </r>
  </si>
  <si>
    <r>
      <t>Na</t>
    </r>
    <r>
      <rPr>
        <vertAlign val="superscript"/>
        <sz val="11"/>
        <rFont val="Calibri"/>
        <family val="2"/>
        <scheme val="minor"/>
      </rPr>
      <t xml:space="preserve">+ </t>
    </r>
  </si>
  <si>
    <r>
      <t>K</t>
    </r>
    <r>
      <rPr>
        <vertAlign val="superscript"/>
        <sz val="11"/>
        <rFont val="Calibri"/>
        <family val="2"/>
        <scheme val="minor"/>
      </rPr>
      <t xml:space="preserve">+ </t>
    </r>
  </si>
  <si>
    <r>
      <t>Br</t>
    </r>
    <r>
      <rPr>
        <vertAlign val="superscript"/>
        <sz val="11"/>
        <rFont val="Calibri"/>
        <family val="2"/>
        <scheme val="minor"/>
      </rPr>
      <t>-</t>
    </r>
  </si>
  <si>
    <r>
      <t>NH</t>
    </r>
    <r>
      <rPr>
        <vertAlign val="subscript"/>
        <sz val="11"/>
        <rFont val="Calibri"/>
        <family val="2"/>
        <scheme val="minor"/>
      </rPr>
      <t xml:space="preserve">4 </t>
    </r>
    <r>
      <rPr>
        <vertAlign val="superscript"/>
        <sz val="11"/>
        <rFont val="Calibri"/>
        <family val="2"/>
        <scheme val="minor"/>
      </rPr>
      <t xml:space="preserve">+ </t>
    </r>
  </si>
  <si>
    <r>
      <t>HCO</t>
    </r>
    <r>
      <rPr>
        <vertAlign val="subscript"/>
        <sz val="11"/>
        <rFont val="Calibri"/>
        <family val="2"/>
        <scheme val="minor"/>
      </rPr>
      <t xml:space="preserve">3 </t>
    </r>
    <r>
      <rPr>
        <vertAlign val="superscript"/>
        <sz val="11"/>
        <rFont val="Calibri"/>
        <family val="2"/>
        <scheme val="minor"/>
      </rPr>
      <t xml:space="preserve">- </t>
    </r>
  </si>
  <si>
    <r>
      <t>Cl</t>
    </r>
    <r>
      <rPr>
        <vertAlign val="superscript"/>
        <sz val="11"/>
        <rFont val="Calibri"/>
        <family val="2"/>
        <scheme val="minor"/>
      </rPr>
      <t xml:space="preserve">- </t>
    </r>
  </si>
  <si>
    <r>
      <t>NO</t>
    </r>
    <r>
      <rPr>
        <vertAlign val="subscript"/>
        <sz val="11"/>
        <rFont val="Calibri"/>
        <family val="2"/>
        <scheme val="minor"/>
      </rPr>
      <t xml:space="preserve">3 </t>
    </r>
    <r>
      <rPr>
        <vertAlign val="superscript"/>
        <sz val="11"/>
        <rFont val="Calibri"/>
        <family val="2"/>
        <scheme val="minor"/>
      </rPr>
      <t xml:space="preserve">- </t>
    </r>
  </si>
  <si>
    <r>
      <t>SO</t>
    </r>
    <r>
      <rPr>
        <vertAlign val="subscript"/>
        <sz val="11"/>
        <rFont val="Calibri"/>
        <family val="2"/>
        <scheme val="minor"/>
      </rPr>
      <t xml:space="preserve">4 </t>
    </r>
    <r>
      <rPr>
        <vertAlign val="superscript"/>
        <sz val="11"/>
        <rFont val="Calibri"/>
        <family val="2"/>
        <scheme val="minor"/>
      </rPr>
      <t xml:space="preserve">2- </t>
    </r>
  </si>
  <si>
    <r>
      <t>PO</t>
    </r>
    <r>
      <rPr>
        <vertAlign val="subscript"/>
        <sz val="11"/>
        <rFont val="Calibri"/>
        <family val="2"/>
        <scheme val="minor"/>
      </rPr>
      <t xml:space="preserve">4 </t>
    </r>
    <r>
      <rPr>
        <vertAlign val="superscript"/>
        <sz val="11"/>
        <rFont val="Calibri"/>
        <family val="2"/>
        <scheme val="minor"/>
      </rPr>
      <t xml:space="preserve">3- </t>
    </r>
  </si>
  <si>
    <t>Ionenbilanzrechner</t>
  </si>
  <si>
    <t>mg/l</t>
  </si>
  <si>
    <t>mg/meq</t>
  </si>
  <si>
    <t xml:space="preserve">Natrium </t>
  </si>
  <si>
    <r>
      <t xml:space="preserve">Karbonathärte (in </t>
    </r>
    <r>
      <rPr>
        <sz val="11"/>
        <color theme="1"/>
        <rFont val="Calibri"/>
        <family val="2"/>
      </rPr>
      <t xml:space="preserve">⁰dKH): </t>
    </r>
  </si>
  <si>
    <t>Bromid</t>
  </si>
  <si>
    <r>
      <t>Sr</t>
    </r>
    <r>
      <rPr>
        <vertAlign val="superscript"/>
        <sz val="11"/>
        <rFont val="Calibri"/>
        <family val="2"/>
        <scheme val="minor"/>
      </rPr>
      <t>2+</t>
    </r>
  </si>
  <si>
    <r>
      <t>Li</t>
    </r>
    <r>
      <rPr>
        <vertAlign val="superscript"/>
        <sz val="11"/>
        <rFont val="Calibri"/>
        <family val="2"/>
        <scheme val="minor"/>
      </rPr>
      <t>+</t>
    </r>
  </si>
  <si>
    <t>Masseanteil</t>
  </si>
  <si>
    <t xml:space="preserve">Schwefel (S) M in g/mol = </t>
  </si>
  <si>
    <t>ω(S)=</t>
  </si>
  <si>
    <r>
      <t>B</t>
    </r>
    <r>
      <rPr>
        <vertAlign val="superscript"/>
        <sz val="11"/>
        <rFont val="Calibri"/>
        <family val="2"/>
        <scheme val="minor"/>
      </rPr>
      <t>-</t>
    </r>
  </si>
  <si>
    <r>
      <t>F</t>
    </r>
    <r>
      <rPr>
        <vertAlign val="superscript"/>
        <sz val="11"/>
        <rFont val="Calibri"/>
        <family val="2"/>
        <scheme val="minor"/>
      </rPr>
      <t>-</t>
    </r>
  </si>
  <si>
    <t>Flourid</t>
  </si>
  <si>
    <t xml:space="preserve"> M = relative Atommasse
</t>
  </si>
  <si>
    <t xml:space="preserve"> z = chemische Wertigkeit</t>
  </si>
  <si>
    <t>https://de.webqc.org/molecular-weight-of-.html</t>
  </si>
  <si>
    <r>
      <t>NO</t>
    </r>
    <r>
      <rPr>
        <vertAlign val="subscript"/>
        <sz val="11"/>
        <rFont val="Calibri"/>
        <family val="2"/>
        <scheme val="minor"/>
      </rPr>
      <t xml:space="preserve">2 </t>
    </r>
    <r>
      <rPr>
        <vertAlign val="superscript"/>
        <sz val="11"/>
        <rFont val="Calibri"/>
        <family val="2"/>
        <scheme val="minor"/>
      </rPr>
      <t xml:space="preserve">- </t>
    </r>
  </si>
  <si>
    <t>Hydrogen-carbonat</t>
  </si>
  <si>
    <t>Summe Kationen-Äquivalente :</t>
  </si>
  <si>
    <t>Summe Anionen-Äquivalente:</t>
  </si>
  <si>
    <t>Schwefel (in mg/l):</t>
  </si>
  <si>
    <t>ΔIB =</t>
  </si>
  <si>
    <t>Molmassenrechner</t>
  </si>
  <si>
    <r>
      <t>Sulfat (SO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)  M in g/mol= </t>
    </r>
  </si>
  <si>
    <t>Summe Kationen</t>
  </si>
  <si>
    <t>Summe Anionen</t>
  </si>
  <si>
    <t>Differenz in mg/l</t>
  </si>
  <si>
    <t>Differenz 
in mg/l</t>
  </si>
  <si>
    <t>Idealwert 
in mg/l</t>
  </si>
  <si>
    <t>Angepasster Idealwert 
in mg/l</t>
  </si>
  <si>
    <t>Summe (K+A) in mg/l</t>
  </si>
  <si>
    <t>Salinität in g/kg , psu, ‰</t>
  </si>
  <si>
    <r>
      <t>ΔIB</t>
    </r>
    <r>
      <rPr>
        <b/>
        <i/>
        <vertAlign val="superscript"/>
        <sz val="12"/>
        <color theme="1"/>
        <rFont val="Calibri"/>
        <family val="2"/>
        <scheme val="minor"/>
      </rPr>
      <t>(DIN)</t>
    </r>
  </si>
  <si>
    <t>Salinität (PSU):</t>
  </si>
  <si>
    <t>KH (in ⁰dKH):</t>
  </si>
  <si>
    <t>Carbonat</t>
  </si>
  <si>
    <r>
      <t>CO</t>
    </r>
    <r>
      <rPr>
        <vertAlign val="subscript"/>
        <sz val="11"/>
        <rFont val="Calibri"/>
        <family val="2"/>
        <scheme val="minor"/>
      </rPr>
      <t>3</t>
    </r>
    <r>
      <rPr>
        <vertAlign val="superscript"/>
        <sz val="11"/>
        <rFont val="Calibri"/>
        <family val="2"/>
        <scheme val="minor"/>
      </rPr>
      <t>2-</t>
    </r>
  </si>
  <si>
    <t>min</t>
  </si>
  <si>
    <t>max</t>
  </si>
  <si>
    <t>psu</t>
  </si>
  <si>
    <t>Salinität</t>
  </si>
  <si>
    <t>Schwefel</t>
  </si>
  <si>
    <t>S</t>
  </si>
  <si>
    <t>Mess-ergebnis in mg/l</t>
  </si>
  <si>
    <t xml:space="preserve">Messergebnisse </t>
  </si>
  <si>
    <t>Referenzbereich</t>
  </si>
  <si>
    <t>Idealwert</t>
  </si>
  <si>
    <t>Angepasster Idealwert</t>
  </si>
  <si>
    <t>Summe</t>
  </si>
  <si>
    <t>Mess-ergebnisse</t>
  </si>
  <si>
    <t>Messergebnis :</t>
  </si>
  <si>
    <t>Mg : psu</t>
  </si>
  <si>
    <t>Ca : psu</t>
  </si>
  <si>
    <t>K : psu</t>
  </si>
  <si>
    <t>Br : psu</t>
  </si>
  <si>
    <t>Sr : psu</t>
  </si>
  <si>
    <t>B : psu</t>
  </si>
  <si>
    <t>F : psu</t>
  </si>
  <si>
    <t>Idealwert : Salinität (35 psu)</t>
  </si>
  <si>
    <t>Prinzip der konstanten Proportionen</t>
  </si>
  <si>
    <t xml:space="preserve">Referenzbereich bei einer Salinität von 35 und </t>
  </si>
  <si>
    <t>Relationsfaktor von</t>
  </si>
  <si>
    <t>Ausgleich von</t>
  </si>
  <si>
    <t>Summen-</t>
  </si>
  <si>
    <t>formel</t>
  </si>
  <si>
    <t>Magnesiumchlorid Hexahydrat</t>
  </si>
  <si>
    <r>
      <t>MgCl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· 6H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</t>
    </r>
  </si>
  <si>
    <t>Magnesiumsulfat Heptahydrat</t>
  </si>
  <si>
    <r>
      <t>MgSO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· 7H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</t>
    </r>
  </si>
  <si>
    <t>Calciumchlorid Dihydrat</t>
  </si>
  <si>
    <r>
      <t>CaCl</t>
    </r>
    <r>
      <rPr>
        <vertAlign val="subscript"/>
        <sz val="11"/>
        <color theme="1"/>
        <rFont val="Calibri"/>
        <family val="2"/>
        <scheme val="minor"/>
      </rPr>
      <t xml:space="preserve">2 </t>
    </r>
    <r>
      <rPr>
        <sz val="11"/>
        <color theme="1"/>
        <rFont val="Calibri"/>
        <family val="2"/>
        <scheme val="minor"/>
      </rPr>
      <t>· 2H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</t>
    </r>
  </si>
  <si>
    <t>Kaliumchlorid</t>
  </si>
  <si>
    <t>KCl</t>
  </si>
  <si>
    <t>Kaliumsulfat</t>
  </si>
  <si>
    <r>
      <t>K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SO</t>
    </r>
    <r>
      <rPr>
        <vertAlign val="subscript"/>
        <sz val="11"/>
        <color theme="1"/>
        <rFont val="Calibri"/>
        <family val="2"/>
        <scheme val="minor"/>
      </rPr>
      <t>4</t>
    </r>
  </si>
  <si>
    <t>Strontiumchlorid-Hexahydrat</t>
  </si>
  <si>
    <r>
      <t>SrCl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· 6H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</t>
    </r>
  </si>
  <si>
    <t xml:space="preserve">Brom </t>
  </si>
  <si>
    <t>Natriumbromid</t>
  </si>
  <si>
    <t>NaBr</t>
  </si>
  <si>
    <t>Kaliumbromid</t>
  </si>
  <si>
    <t>KBr</t>
  </si>
  <si>
    <t>di-Natriumtetraborat-Decahydrat</t>
  </si>
  <si>
    <r>
      <t>Na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B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2"/>
        <scheme val="minor"/>
      </rPr>
      <t>7</t>
    </r>
    <r>
      <rPr>
        <sz val="11"/>
        <color theme="1"/>
        <rFont val="Calibri"/>
        <family val="2"/>
        <scheme val="minor"/>
      </rPr>
      <t xml:space="preserve">  ·10H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</t>
    </r>
  </si>
  <si>
    <t>Fluor</t>
  </si>
  <si>
    <t>Natriumfluorid</t>
  </si>
  <si>
    <t>NaF</t>
  </si>
  <si>
    <t>Kaliumfluorid</t>
  </si>
  <si>
    <t>KF</t>
  </si>
  <si>
    <t>mit Salz</t>
  </si>
  <si>
    <t>Ausgleichsmenge Salz in mg</t>
  </si>
  <si>
    <t>Ausgleichsmenge Salz in g</t>
  </si>
  <si>
    <t xml:space="preserve">Masse-anteil </t>
  </si>
  <si>
    <r>
      <t>I</t>
    </r>
    <r>
      <rPr>
        <vertAlign val="superscript"/>
        <sz val="11"/>
        <rFont val="Calibri"/>
        <family val="2"/>
        <scheme val="minor"/>
      </rPr>
      <t>-</t>
    </r>
  </si>
  <si>
    <t>Einmaliger Ausgleich bezogen auf Salinität</t>
  </si>
  <si>
    <t>ICP Analyse in mg/l
Messwert</t>
  </si>
  <si>
    <t>Defizit in mg/l
Element</t>
  </si>
  <si>
    <t>Ausgleich 
von</t>
  </si>
  <si>
    <t>Löslichkeit in Wasser (20 °C) in g/l</t>
  </si>
  <si>
    <t>M Salz in g/mol</t>
  </si>
  <si>
    <t>Anzahl Atome</t>
  </si>
  <si>
    <t>Summen-
formel</t>
  </si>
  <si>
    <t>Gesamtnettovolumen
Aquarium (in Liter)
Aquarium</t>
  </si>
  <si>
    <t>Na₂SO₄</t>
  </si>
  <si>
    <t xml:space="preserve">Natriumsulfat </t>
  </si>
  <si>
    <t>Natriumsulfat</t>
  </si>
  <si>
    <t> 170</t>
  </si>
  <si>
    <t>Salz Name</t>
  </si>
  <si>
    <t>Bindungs-partner</t>
  </si>
  <si>
    <t>Anstieg in mg/l</t>
  </si>
  <si>
    <t>von</t>
  </si>
  <si>
    <t>Defizit in mg/l</t>
  </si>
  <si>
    <t xml:space="preserve">Sonderfall: Magnesium &amp; Schwefel oder Kalium &amp; Schwefel Defizit </t>
  </si>
  <si>
    <r>
      <t>MgSO</t>
    </r>
    <r>
      <rPr>
        <vertAlign val="subscript"/>
        <sz val="11"/>
        <rFont val="Calibri"/>
        <family val="2"/>
        <scheme val="minor"/>
      </rPr>
      <t>4</t>
    </r>
    <r>
      <rPr>
        <sz val="11"/>
        <rFont val="Calibri"/>
        <family val="2"/>
        <scheme val="minor"/>
      </rPr>
      <t xml:space="preserve"> · 7H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O</t>
    </r>
  </si>
  <si>
    <t>Relation Defizit Mg/S, K/S</t>
  </si>
  <si>
    <r>
      <t>MgSO</t>
    </r>
    <r>
      <rPr>
        <vertAlign val="subscript"/>
        <sz val="9"/>
        <color theme="0" tint="-0.34998626667073579"/>
        <rFont val="Calibri"/>
        <family val="2"/>
        <scheme val="minor"/>
      </rPr>
      <t>4</t>
    </r>
    <r>
      <rPr>
        <sz val="9"/>
        <color theme="0" tint="-0.34998626667073579"/>
        <rFont val="Calibri"/>
        <family val="2"/>
        <scheme val="minor"/>
      </rPr>
      <t xml:space="preserve"> · 7H</t>
    </r>
    <r>
      <rPr>
        <vertAlign val="subscript"/>
        <sz val="9"/>
        <color theme="0" tint="-0.34998626667073579"/>
        <rFont val="Calibri"/>
        <family val="2"/>
        <scheme val="minor"/>
      </rPr>
      <t>2</t>
    </r>
    <r>
      <rPr>
        <sz val="9"/>
        <color theme="0" tint="-0.34998626667073579"/>
        <rFont val="Calibri"/>
        <family val="2"/>
        <scheme val="minor"/>
      </rPr>
      <t>O</t>
    </r>
  </si>
  <si>
    <r>
      <t>K</t>
    </r>
    <r>
      <rPr>
        <vertAlign val="subscript"/>
        <sz val="9"/>
        <color theme="0" tint="-0.34998626667073579"/>
        <rFont val="Calibri"/>
        <family val="2"/>
        <scheme val="minor"/>
      </rPr>
      <t>2</t>
    </r>
    <r>
      <rPr>
        <sz val="9"/>
        <color theme="0" tint="-0.34998626667073579"/>
        <rFont val="Calibri"/>
        <family val="2"/>
        <scheme val="minor"/>
      </rPr>
      <t>SO</t>
    </r>
    <r>
      <rPr>
        <vertAlign val="subscript"/>
        <sz val="9"/>
        <color theme="0" tint="-0.34998626667073579"/>
        <rFont val="Calibri"/>
        <family val="2"/>
        <scheme val="minor"/>
      </rPr>
      <t>4</t>
    </r>
  </si>
  <si>
    <t>Relation Masse-anteile</t>
  </si>
  <si>
    <r>
      <t>K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SO</t>
    </r>
    <r>
      <rPr>
        <vertAlign val="subscript"/>
        <sz val="11"/>
        <rFont val="Calibri"/>
        <family val="2"/>
        <scheme val="minor"/>
      </rPr>
      <t>4</t>
    </r>
  </si>
  <si>
    <t>Ammoniak Calculator</t>
  </si>
  <si>
    <t>pH</t>
  </si>
  <si>
    <t>Temperatur</t>
  </si>
  <si>
    <t>°C</t>
  </si>
  <si>
    <t>‰</t>
  </si>
  <si>
    <r>
      <t>Konzentration Ammonium c(NH</t>
    </r>
    <r>
      <rPr>
        <b/>
        <vertAlign val="subscript"/>
        <sz val="11"/>
        <color theme="1"/>
        <rFont val="Calibri"/>
        <family val="2"/>
        <scheme val="minor"/>
      </rPr>
      <t>4</t>
    </r>
    <r>
      <rPr>
        <b/>
        <sz val="11"/>
        <color theme="1"/>
        <rFont val="Calibri"/>
        <family val="2"/>
        <scheme val="minor"/>
      </rPr>
      <t>)</t>
    </r>
  </si>
  <si>
    <t>%</t>
  </si>
  <si>
    <t>Temperatur in °C</t>
  </si>
  <si>
    <t>pH -Wert</t>
  </si>
  <si>
    <r>
      <t>pK</t>
    </r>
    <r>
      <rPr>
        <vertAlign val="subscript"/>
        <sz val="11"/>
        <color theme="0"/>
        <rFont val="Calibri"/>
        <family val="2"/>
        <scheme val="minor"/>
      </rPr>
      <t>a</t>
    </r>
  </si>
  <si>
    <t>Ammoniak-Anteil</t>
  </si>
  <si>
    <t>Ammonium-Anteil</t>
  </si>
  <si>
    <t xml:space="preserve">wobei </t>
  </si>
  <si>
    <t>t = Temperatur in °C</t>
  </si>
  <si>
    <t>S = Salinität</t>
  </si>
  <si>
    <t>pH = pH Wert</t>
  </si>
  <si>
    <r>
      <t>pK</t>
    </r>
    <r>
      <rPr>
        <vertAlign val="subscript"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 xml:space="preserve"> = Der pK</t>
    </r>
    <r>
      <rPr>
        <vertAlign val="subscript"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>-Wert (oder pK</t>
    </r>
    <r>
      <rPr>
        <vertAlign val="subscript"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>) ist das Mass für die Stärke der Säure. Je tiefer der Wert ist, desto stärker ist die Säure. Der pK</t>
    </r>
    <r>
      <rPr>
        <vertAlign val="subscript"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 xml:space="preserve"> ist von der Säuredissoziationskonstante (Säurenkonstante) K</t>
    </r>
    <r>
      <rPr>
        <vertAlign val="subscript"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 xml:space="preserve"> (K</t>
    </r>
    <r>
      <rPr>
        <vertAlign val="subscript"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>) abgeleitet. Es handelt sich um den negativen dekadischen Logarithmus.</t>
    </r>
  </si>
  <si>
    <r>
      <t>{NH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>}</t>
    </r>
    <r>
      <rPr>
        <vertAlign val="subscript"/>
        <sz val="11"/>
        <color theme="1"/>
        <rFont val="Calibri"/>
        <family val="2"/>
        <scheme val="minor"/>
      </rPr>
      <t>Ges</t>
    </r>
    <r>
      <rPr>
        <sz val="11"/>
        <color theme="1"/>
        <rFont val="Calibri"/>
        <family val="2"/>
        <scheme val="minor"/>
      </rPr>
      <t xml:space="preserve"> = Gesamtammoniumgehalt (aus analytischer Bestimmung) in mg/l</t>
    </r>
  </si>
  <si>
    <r>
      <t>{NH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} = Ammoniakgehalt in mg/l</t>
    </r>
  </si>
  <si>
    <r>
      <t>Konzentration Ammoniak c(NH</t>
    </r>
    <r>
      <rPr>
        <b/>
        <vertAlign val="sub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</si>
  <si>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r>
      <t>c(NH</t>
    </r>
    <r>
      <rPr>
        <b/>
        <vertAlign val="subscript"/>
        <sz val="11"/>
        <color theme="1"/>
        <rFont val="Calibri"/>
        <family val="2"/>
        <scheme val="minor"/>
      </rPr>
      <t>4</t>
    </r>
    <r>
      <rPr>
        <b/>
        <sz val="11"/>
        <color theme="1"/>
        <rFont val="Calibri"/>
        <family val="2"/>
        <scheme val="minor"/>
      </rPr>
      <t>)</t>
    </r>
  </si>
  <si>
    <t>Borsäure</t>
  </si>
  <si>
    <r>
      <t>H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BO</t>
    </r>
    <r>
      <rPr>
        <vertAlign val="subscript"/>
        <sz val="11"/>
        <color theme="1"/>
        <rFont val="Calibri"/>
        <family val="2"/>
        <scheme val="minor"/>
      </rPr>
      <t>3</t>
    </r>
  </si>
  <si>
    <t>KH</t>
  </si>
  <si>
    <t>Natrium-hydrogencarbonat</t>
  </si>
  <si>
    <r>
      <t>NaHCO</t>
    </r>
    <r>
      <rPr>
        <vertAlign val="subscript"/>
        <sz val="11"/>
        <color theme="1"/>
        <rFont val="Calibri"/>
        <family val="2"/>
        <scheme val="minor"/>
      </rPr>
      <t>3</t>
    </r>
  </si>
  <si>
    <t>Analyse in ⁰dKH
Messwert</t>
  </si>
  <si>
    <t>Defizit in ⁰dKH
Element</t>
  </si>
  <si>
    <t>Haupt-element</t>
  </si>
  <si>
    <t>1.0</t>
  </si>
  <si>
    <t xml:space="preserve">Datum: </t>
  </si>
  <si>
    <t>Version:</t>
  </si>
  <si>
    <r>
      <rPr>
        <b/>
        <sz val="12"/>
        <color theme="1"/>
        <rFont val="Calibri"/>
        <family val="2"/>
      </rPr>
      <t xml:space="preserve">© 2023 </t>
    </r>
    <r>
      <rPr>
        <b/>
        <sz val="12"/>
        <color theme="1"/>
        <rFont val="Calibri"/>
        <family val="2"/>
        <scheme val="minor"/>
      </rPr>
      <t xml:space="preserve"> Dieter Kreissl (#tropicreef)</t>
    </r>
  </si>
  <si>
    <r>
      <t>ReefCalculator</t>
    </r>
    <r>
      <rPr>
        <b/>
        <vertAlign val="superscript"/>
        <sz val="36"/>
        <color theme="1"/>
        <rFont val="Aharoni"/>
        <charset val="177"/>
      </rPr>
      <t>©</t>
    </r>
  </si>
  <si>
    <t xml:space="preserve">Excel Registerkarten Beschreibung: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</si>
</sst>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0.000"/>
    <numFmt numFmtId="165" formatCode="0.0000%"/>
    <numFmt numFmtId="166" formatCode="#,##0.000"/>
    <numFmt numFmtId="167" formatCode="0.0000"/>
    <numFmt numFmtId="168" formatCode="#,##0.0"/>
    <numFmt numFmtId="169" formatCode="0.00000"/>
    <numFmt numFmtId="170" formatCode="#,##0.0000"/>
    <numFmt numFmtId="171" formatCode="0.0000000"/>
    <numFmt numFmtId="172" formatCode="0.00000%"/>
  </numFmts>
  <fonts count="4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vertAlign val="subscript"/>
      <sz val="1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mbria Math"/>
      <family val="1"/>
    </font>
    <font>
      <u/>
      <sz val="11"/>
      <color theme="10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8"/>
      <color rgb="FF333333"/>
      <name val="Verdana"/>
      <family val="2"/>
    </font>
    <font>
      <sz val="11"/>
      <color theme="0"/>
      <name val="Calibri"/>
      <family val="2"/>
      <scheme val="minor"/>
    </font>
    <font>
      <b/>
      <i/>
      <vertAlign val="superscript"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22"/>
      <color theme="1"/>
      <name val="Calibri"/>
      <family val="2"/>
      <scheme val="minor"/>
    </font>
    <font>
      <sz val="8"/>
      <color rgb="FF000000"/>
      <name val="Segoe UI"/>
      <family val="2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vertAlign val="subscript"/>
      <sz val="9"/>
      <color theme="0" tint="-0.34998626667073579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vertAlign val="subscript"/>
      <sz val="11"/>
      <color theme="0"/>
      <name val="Calibri"/>
      <family val="2"/>
      <scheme val="minor"/>
    </font>
    <font>
      <b/>
      <sz val="12"/>
      <color theme="1"/>
      <name val="Calibri"/>
      <family val="2"/>
    </font>
    <font>
      <b/>
      <sz val="28"/>
      <color theme="1"/>
      <name val="Calibri"/>
      <family val="2"/>
      <scheme val="minor"/>
    </font>
    <font>
      <b/>
      <sz val="36"/>
      <color theme="1"/>
      <name val="Aharoni"/>
      <charset val="177"/>
    </font>
    <font>
      <b/>
      <vertAlign val="superscript"/>
      <sz val="36"/>
      <color theme="1"/>
      <name val="Aharoni"/>
      <charset val="177"/>
    </font>
  </fonts>
  <fills count="2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4D4D4D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99"/>
      </left>
      <right style="thin">
        <color rgb="FF000099"/>
      </right>
      <top style="thin">
        <color rgb="FF000099"/>
      </top>
      <bottom style="thin">
        <color rgb="FF000099"/>
      </bottom>
      <diagonal/>
    </border>
    <border>
      <left style="thin">
        <color rgb="FF000099"/>
      </left>
      <right style="thin">
        <color rgb="FF000099"/>
      </right>
      <top style="thin">
        <color rgb="FF000099"/>
      </top>
      <bottom/>
      <diagonal/>
    </border>
    <border>
      <left style="thin">
        <color rgb="FF000099"/>
      </left>
      <right/>
      <top style="thin">
        <color rgb="FF000099"/>
      </top>
      <bottom style="thin">
        <color rgb="FF000099"/>
      </bottom>
      <diagonal/>
    </border>
    <border>
      <left style="thin">
        <color rgb="FF000099"/>
      </left>
      <right style="thin">
        <color rgb="FF000099"/>
      </right>
      <top/>
      <bottom/>
      <diagonal/>
    </border>
    <border>
      <left style="thin">
        <color rgb="FF000099"/>
      </left>
      <right/>
      <top style="thin">
        <color rgb="FF000099"/>
      </top>
      <bottom/>
      <diagonal/>
    </border>
    <border>
      <left style="thin">
        <color rgb="FF000099"/>
      </left>
      <right style="thin">
        <color rgb="FF000099"/>
      </right>
      <top/>
      <bottom style="thin">
        <color rgb="FF00009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99"/>
      </right>
      <top style="medium">
        <color indexed="64"/>
      </top>
      <bottom/>
      <diagonal/>
    </border>
    <border>
      <left style="thin">
        <color rgb="FF000099"/>
      </left>
      <right style="thin">
        <color rgb="FF000099"/>
      </right>
      <top style="medium">
        <color indexed="64"/>
      </top>
      <bottom style="thin">
        <color rgb="FF000099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99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99"/>
      </right>
      <top/>
      <bottom style="medium">
        <color indexed="64"/>
      </bottom>
      <diagonal/>
    </border>
    <border>
      <left style="thin">
        <color rgb="FF000099"/>
      </left>
      <right style="thin">
        <color rgb="FF000099"/>
      </right>
      <top style="thin">
        <color rgb="FF000099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99"/>
      </left>
      <right/>
      <top style="medium">
        <color indexed="64"/>
      </top>
      <bottom style="thin">
        <color rgb="FF000099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3" fillId="0" borderId="0" applyNumberFormat="0" applyFill="0" applyBorder="0" applyAlignment="0" applyProtection="0"/>
    <xf numFmtId="9" fontId="24" fillId="0" borderId="0" applyFont="0" applyFill="0" applyBorder="0" applyAlignment="0" applyProtection="0"/>
  </cellStyleXfs>
  <cellXfs count="34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1" xfId="0" applyBorder="1"/>
    <xf numFmtId="4" fontId="0" fillId="0" borderId="0" xfId="0" applyNumberFormat="1"/>
    <xf numFmtId="0" fontId="0" fillId="3" borderId="0" xfId="0" applyFill="1"/>
    <xf numFmtId="0" fontId="1" fillId="4" borderId="1" xfId="0" applyFont="1" applyFill="1" applyBorder="1" applyAlignment="1">
      <alignment horizontal="center"/>
    </xf>
    <xf numFmtId="4" fontId="0" fillId="0" borderId="1" xfId="0" applyNumberFormat="1" applyBorder="1"/>
    <xf numFmtId="0" fontId="0" fillId="0" borderId="1" xfId="0" applyBorder="1" applyAlignment="1">
      <alignment horizontal="center"/>
    </xf>
    <xf numFmtId="164" fontId="0" fillId="0" borderId="1" xfId="0" applyNumberFormat="1" applyBorder="1"/>
    <xf numFmtId="164" fontId="0" fillId="0" borderId="0" xfId="0" applyNumberFormat="1"/>
    <xf numFmtId="0" fontId="3" fillId="4" borderId="0" xfId="0" applyFont="1" applyFill="1"/>
    <xf numFmtId="4" fontId="3" fillId="4" borderId="0" xfId="0" applyNumberFormat="1" applyFont="1" applyFill="1"/>
    <xf numFmtId="164" fontId="3" fillId="4" borderId="0" xfId="0" applyNumberFormat="1" applyFont="1" applyFill="1"/>
    <xf numFmtId="0" fontId="5" fillId="0" borderId="3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center" vertical="top" wrapText="1"/>
    </xf>
    <xf numFmtId="166" fontId="5" fillId="0" borderId="3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166" fontId="5" fillId="0" borderId="0" xfId="0" applyNumberFormat="1" applyFont="1" applyAlignment="1">
      <alignment horizontal="center" vertical="top" wrapText="1"/>
    </xf>
    <xf numFmtId="166" fontId="0" fillId="0" borderId="0" xfId="0" applyNumberFormat="1" applyAlignment="1">
      <alignment horizontal="center"/>
    </xf>
    <xf numFmtId="0" fontId="9" fillId="0" borderId="0" xfId="0" applyFont="1" applyAlignment="1">
      <alignment horizontal="center" vertical="center" textRotation="90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166" fontId="5" fillId="0" borderId="3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166" fontId="5" fillId="0" borderId="4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166" fontId="5" fillId="0" borderId="8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4" fontId="1" fillId="0" borderId="0" xfId="0" applyNumberFormat="1" applyFont="1"/>
    <xf numFmtId="0" fontId="5" fillId="0" borderId="17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center" vertical="center" wrapText="1"/>
    </xf>
    <xf numFmtId="166" fontId="5" fillId="0" borderId="17" xfId="0" applyNumberFormat="1" applyFont="1" applyBorder="1" applyAlignment="1">
      <alignment horizontal="center" vertical="center" wrapText="1"/>
    </xf>
    <xf numFmtId="166" fontId="0" fillId="0" borderId="18" xfId="0" applyNumberFormat="1" applyBorder="1" applyAlignment="1">
      <alignment horizontal="center" vertical="center"/>
    </xf>
    <xf numFmtId="166" fontId="0" fillId="0" borderId="20" xfId="0" applyNumberFormat="1" applyBorder="1" applyAlignment="1">
      <alignment horizontal="center" vertical="center"/>
    </xf>
    <xf numFmtId="0" fontId="5" fillId="0" borderId="22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center" vertical="top" wrapText="1"/>
    </xf>
    <xf numFmtId="166" fontId="5" fillId="0" borderId="22" xfId="0" applyNumberFormat="1" applyFont="1" applyBorder="1" applyAlignment="1">
      <alignment horizontal="center" vertical="top" wrapText="1"/>
    </xf>
    <xf numFmtId="166" fontId="0" fillId="0" borderId="23" xfId="0" applyNumberFormat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166" fontId="0" fillId="0" borderId="27" xfId="0" applyNumberFormat="1" applyBorder="1" applyAlignment="1">
      <alignment horizontal="center" vertical="center"/>
    </xf>
    <xf numFmtId="0" fontId="5" fillId="0" borderId="29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center" vertical="center" wrapText="1"/>
    </xf>
    <xf numFmtId="166" fontId="5" fillId="0" borderId="29" xfId="0" applyNumberFormat="1" applyFont="1" applyBorder="1" applyAlignment="1">
      <alignment horizontal="center" vertical="center" wrapText="1"/>
    </xf>
    <xf numFmtId="0" fontId="10" fillId="6" borderId="9" xfId="0" applyFont="1" applyFill="1" applyBorder="1"/>
    <xf numFmtId="0" fontId="0" fillId="6" borderId="10" xfId="0" applyFill="1" applyBorder="1"/>
    <xf numFmtId="0" fontId="0" fillId="6" borderId="11" xfId="0" applyFill="1" applyBorder="1"/>
    <xf numFmtId="0" fontId="11" fillId="6" borderId="12" xfId="0" applyFont="1" applyFill="1" applyBorder="1"/>
    <xf numFmtId="0" fontId="0" fillId="6" borderId="0" xfId="0" applyFill="1"/>
    <xf numFmtId="0" fontId="0" fillId="6" borderId="2" xfId="0" applyFill="1" applyBorder="1"/>
    <xf numFmtId="0" fontId="0" fillId="6" borderId="12" xfId="0" applyFill="1" applyBorder="1"/>
    <xf numFmtId="0" fontId="0" fillId="6" borderId="13" xfId="0" applyFill="1" applyBorder="1"/>
    <xf numFmtId="0" fontId="0" fillId="6" borderId="14" xfId="0" applyFill="1" applyBorder="1"/>
    <xf numFmtId="0" fontId="0" fillId="6" borderId="15" xfId="0" applyFill="1" applyBorder="1"/>
    <xf numFmtId="0" fontId="13" fillId="0" borderId="0" xfId="1"/>
    <xf numFmtId="0" fontId="0" fillId="7" borderId="9" xfId="0" applyFill="1" applyBorder="1" applyAlignment="1">
      <alignment vertical="center"/>
    </xf>
    <xf numFmtId="0" fontId="0" fillId="7" borderId="10" xfId="0" applyFill="1" applyBorder="1" applyAlignment="1">
      <alignment vertical="center"/>
    </xf>
    <xf numFmtId="0" fontId="0" fillId="7" borderId="12" xfId="0" applyFill="1" applyBorder="1" applyAlignment="1">
      <alignment vertical="center"/>
    </xf>
    <xf numFmtId="0" fontId="0" fillId="7" borderId="0" xfId="0" applyFill="1" applyAlignment="1">
      <alignment vertical="center"/>
    </xf>
    <xf numFmtId="0" fontId="0" fillId="7" borderId="13" xfId="0" applyFill="1" applyBorder="1" applyAlignment="1">
      <alignment vertical="center"/>
    </xf>
    <xf numFmtId="0" fontId="0" fillId="7" borderId="14" xfId="0" applyFill="1" applyBorder="1" applyAlignment="1">
      <alignment vertical="center"/>
    </xf>
    <xf numFmtId="4" fontId="0" fillId="8" borderId="1" xfId="0" applyNumberFormat="1" applyFill="1" applyBorder="1"/>
    <xf numFmtId="0" fontId="9" fillId="0" borderId="0" xfId="0" applyFont="1"/>
    <xf numFmtId="0" fontId="0" fillId="0" borderId="29" xfId="0" applyBorder="1"/>
    <xf numFmtId="0" fontId="0" fillId="0" borderId="29" xfId="0" applyBorder="1" applyAlignment="1">
      <alignment horizontal="center"/>
    </xf>
    <xf numFmtId="164" fontId="0" fillId="0" borderId="29" xfId="0" applyNumberFormat="1" applyBorder="1"/>
    <xf numFmtId="0" fontId="1" fillId="6" borderId="33" xfId="0" applyFont="1" applyFill="1" applyBorder="1" applyAlignment="1">
      <alignment wrapText="1"/>
    </xf>
    <xf numFmtId="0" fontId="1" fillId="6" borderId="33" xfId="0" applyFont="1" applyFill="1" applyBorder="1" applyAlignment="1">
      <alignment horizontal="right" wrapText="1"/>
    </xf>
    <xf numFmtId="0" fontId="1" fillId="6" borderId="33" xfId="0" applyFont="1" applyFill="1" applyBorder="1" applyAlignment="1">
      <alignment horizontal="center" wrapText="1"/>
    </xf>
    <xf numFmtId="0" fontId="0" fillId="0" borderId="33" xfId="0" applyBorder="1" applyAlignment="1">
      <alignment horizontal="right" wrapText="1"/>
    </xf>
    <xf numFmtId="0" fontId="14" fillId="6" borderId="6" xfId="0" applyFont="1" applyFill="1" applyBorder="1" applyAlignment="1">
      <alignment horizontal="left" vertical="top" wrapText="1"/>
    </xf>
    <xf numFmtId="0" fontId="14" fillId="6" borderId="6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9" borderId="3" xfId="0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right" wrapText="1"/>
    </xf>
    <xf numFmtId="165" fontId="15" fillId="0" borderId="20" xfId="0" applyNumberFormat="1" applyFont="1" applyBorder="1"/>
    <xf numFmtId="165" fontId="15" fillId="0" borderId="23" xfId="0" applyNumberFormat="1" applyFont="1" applyBorder="1"/>
    <xf numFmtId="0" fontId="16" fillId="0" borderId="0" xfId="0" applyFont="1"/>
    <xf numFmtId="10" fontId="11" fillId="0" borderId="0" xfId="0" applyNumberFormat="1" applyFont="1" applyAlignment="1">
      <alignment horizontal="left"/>
    </xf>
    <xf numFmtId="10" fontId="20" fillId="0" borderId="0" xfId="0" applyNumberFormat="1" applyFont="1"/>
    <xf numFmtId="0" fontId="3" fillId="0" borderId="0" xfId="0" applyFont="1" applyAlignment="1">
      <alignment horizontal="left"/>
    </xf>
    <xf numFmtId="4" fontId="0" fillId="2" borderId="1" xfId="0" applyNumberFormat="1" applyFill="1" applyBorder="1" applyProtection="1">
      <protection locked="0"/>
    </xf>
    <xf numFmtId="0" fontId="19" fillId="0" borderId="0" xfId="0" applyFont="1" applyAlignment="1">
      <alignment horizontal="left" vertical="top"/>
    </xf>
    <xf numFmtId="4" fontId="0" fillId="2" borderId="29" xfId="0" applyNumberFormat="1" applyFill="1" applyBorder="1" applyProtection="1">
      <protection locked="0"/>
    </xf>
    <xf numFmtId="0" fontId="17" fillId="0" borderId="0" xfId="0" applyFont="1" applyProtection="1">
      <protection locked="0" hidden="1"/>
    </xf>
    <xf numFmtId="4" fontId="0" fillId="10" borderId="1" xfId="0" applyNumberFormat="1" applyFill="1" applyBorder="1"/>
    <xf numFmtId="166" fontId="0" fillId="8" borderId="1" xfId="0" applyNumberFormat="1" applyFill="1" applyBorder="1"/>
    <xf numFmtId="166" fontId="0" fillId="10" borderId="1" xfId="0" applyNumberFormat="1" applyFill="1" applyBorder="1"/>
    <xf numFmtId="166" fontId="0" fillId="2" borderId="1" xfId="0" applyNumberFormat="1" applyFill="1" applyBorder="1" applyProtection="1">
      <protection locked="0"/>
    </xf>
    <xf numFmtId="167" fontId="0" fillId="2" borderId="29" xfId="0" applyNumberFormat="1" applyFill="1" applyBorder="1" applyProtection="1">
      <protection locked="0"/>
    </xf>
    <xf numFmtId="4" fontId="0" fillId="2" borderId="1" xfId="0" applyNumberFormat="1" applyFill="1" applyBorder="1" applyAlignment="1" applyProtection="1">
      <alignment vertical="center" wrapText="1"/>
      <protection locked="0"/>
    </xf>
    <xf numFmtId="4" fontId="0" fillId="3" borderId="1" xfId="0" applyNumberFormat="1" applyFill="1" applyBorder="1"/>
    <xf numFmtId="4" fontId="0" fillId="2" borderId="20" xfId="0" applyNumberFormat="1" applyFill="1" applyBorder="1" applyAlignment="1" applyProtection="1">
      <alignment vertical="center" wrapText="1"/>
      <protection locked="0"/>
    </xf>
    <xf numFmtId="4" fontId="26" fillId="2" borderId="20" xfId="0" applyNumberFormat="1" applyFont="1" applyFill="1" applyBorder="1" applyAlignment="1" applyProtection="1">
      <alignment vertical="center" wrapText="1"/>
      <protection locked="0"/>
    </xf>
    <xf numFmtId="4" fontId="26" fillId="2" borderId="23" xfId="0" applyNumberFormat="1" applyFont="1" applyFill="1" applyBorder="1" applyAlignment="1" applyProtection="1">
      <alignment vertical="center" wrapText="1"/>
      <protection locked="0"/>
    </xf>
    <xf numFmtId="0" fontId="27" fillId="0" borderId="0" xfId="0" applyFont="1"/>
    <xf numFmtId="0" fontId="0" fillId="0" borderId="35" xfId="0" applyBorder="1"/>
    <xf numFmtId="4" fontId="0" fillId="0" borderId="35" xfId="0" applyNumberFormat="1" applyBorder="1"/>
    <xf numFmtId="10" fontId="17" fillId="0" borderId="0" xfId="2" applyNumberFormat="1" applyFont="1" applyBorder="1"/>
    <xf numFmtId="10" fontId="17" fillId="0" borderId="43" xfId="2" applyNumberFormat="1" applyFont="1" applyBorder="1"/>
    <xf numFmtId="10" fontId="17" fillId="0" borderId="43" xfId="2" applyNumberFormat="1" applyFont="1" applyFill="1" applyBorder="1"/>
    <xf numFmtId="0" fontId="0" fillId="0" borderId="36" xfId="0" applyBorder="1"/>
    <xf numFmtId="4" fontId="0" fillId="0" borderId="36" xfId="0" applyNumberFormat="1" applyBorder="1"/>
    <xf numFmtId="0" fontId="28" fillId="0" borderId="43" xfId="0" applyFont="1" applyBorder="1" applyAlignment="1">
      <alignment horizontal="right"/>
    </xf>
    <xf numFmtId="10" fontId="17" fillId="3" borderId="43" xfId="2" applyNumberFormat="1" applyFont="1" applyFill="1" applyBorder="1"/>
    <xf numFmtId="0" fontId="29" fillId="13" borderId="13" xfId="0" applyFont="1" applyFill="1" applyBorder="1" applyAlignment="1">
      <alignment horizontal="right"/>
    </xf>
    <xf numFmtId="0" fontId="29" fillId="12" borderId="15" xfId="0" applyFont="1" applyFill="1" applyBorder="1" applyAlignment="1">
      <alignment horizontal="right"/>
    </xf>
    <xf numFmtId="0" fontId="5" fillId="0" borderId="0" xfId="0" applyFont="1"/>
    <xf numFmtId="2" fontId="29" fillId="14" borderId="14" xfId="0" applyNumberFormat="1" applyFont="1" applyFill="1" applyBorder="1" applyAlignment="1">
      <alignment horizontal="right" wrapText="1"/>
    </xf>
    <xf numFmtId="4" fontId="5" fillId="14" borderId="42" xfId="0" applyNumberFormat="1" applyFont="1" applyFill="1" applyBorder="1"/>
    <xf numFmtId="0" fontId="29" fillId="8" borderId="14" xfId="0" applyFont="1" applyFill="1" applyBorder="1" applyAlignment="1">
      <alignment horizontal="right"/>
    </xf>
    <xf numFmtId="4" fontId="5" fillId="8" borderId="42" xfId="0" applyNumberFormat="1" applyFont="1" applyFill="1" applyBorder="1"/>
    <xf numFmtId="0" fontId="17" fillId="3" borderId="0" xfId="0" applyFont="1" applyFill="1"/>
    <xf numFmtId="0" fontId="28" fillId="3" borderId="43" xfId="0" applyFont="1" applyFill="1" applyBorder="1" applyAlignment="1">
      <alignment horizontal="right"/>
    </xf>
    <xf numFmtId="0" fontId="17" fillId="0" borderId="0" xfId="0" applyFont="1"/>
    <xf numFmtId="4" fontId="29" fillId="8" borderId="42" xfId="0" applyNumberFormat="1" applyFont="1" applyFill="1" applyBorder="1"/>
    <xf numFmtId="4" fontId="29" fillId="14" borderId="42" xfId="0" applyNumberFormat="1" applyFont="1" applyFill="1" applyBorder="1"/>
    <xf numFmtId="0" fontId="28" fillId="15" borderId="1" xfId="0" applyFont="1" applyFill="1" applyBorder="1"/>
    <xf numFmtId="0" fontId="5" fillId="3" borderId="0" xfId="0" applyFont="1" applyFill="1"/>
    <xf numFmtId="4" fontId="30" fillId="0" borderId="0" xfId="0" applyNumberFormat="1" applyFont="1"/>
    <xf numFmtId="4" fontId="3" fillId="8" borderId="9" xfId="0" applyNumberFormat="1" applyFont="1" applyFill="1" applyBorder="1"/>
    <xf numFmtId="4" fontId="30" fillId="8" borderId="10" xfId="0" applyNumberFormat="1" applyFont="1" applyFill="1" applyBorder="1"/>
    <xf numFmtId="4" fontId="30" fillId="8" borderId="11" xfId="0" applyNumberFormat="1" applyFont="1" applyFill="1" applyBorder="1"/>
    <xf numFmtId="0" fontId="0" fillId="8" borderId="0" xfId="0" applyFill="1"/>
    <xf numFmtId="0" fontId="17" fillId="8" borderId="0" xfId="0" applyFont="1" applyFill="1"/>
    <xf numFmtId="0" fontId="5" fillId="8" borderId="2" xfId="0" applyFont="1" applyFill="1" applyBorder="1"/>
    <xf numFmtId="0" fontId="31" fillId="8" borderId="12" xfId="0" applyFont="1" applyFill="1" applyBorder="1"/>
    <xf numFmtId="0" fontId="31" fillId="8" borderId="0" xfId="0" applyFont="1" applyFill="1"/>
    <xf numFmtId="168" fontId="31" fillId="8" borderId="2" xfId="0" applyNumberFormat="1" applyFont="1" applyFill="1" applyBorder="1" applyAlignment="1">
      <alignment horizontal="left"/>
    </xf>
    <xf numFmtId="0" fontId="5" fillId="8" borderId="12" xfId="0" applyFont="1" applyFill="1" applyBorder="1"/>
    <xf numFmtId="0" fontId="5" fillId="8" borderId="0" xfId="0" applyFont="1" applyFill="1"/>
    <xf numFmtId="4" fontId="5" fillId="8" borderId="2" xfId="0" applyNumberFormat="1" applyFont="1" applyFill="1" applyBorder="1" applyAlignment="1">
      <alignment horizontal="left"/>
    </xf>
    <xf numFmtId="0" fontId="5" fillId="8" borderId="13" xfId="0" applyFont="1" applyFill="1" applyBorder="1"/>
    <xf numFmtId="0" fontId="5" fillId="8" borderId="14" xfId="0" applyFont="1" applyFill="1" applyBorder="1"/>
    <xf numFmtId="4" fontId="5" fillId="8" borderId="15" xfId="0" applyNumberFormat="1" applyFont="1" applyFill="1" applyBorder="1" applyAlignment="1">
      <alignment horizontal="left"/>
    </xf>
    <xf numFmtId="4" fontId="30" fillId="3" borderId="0" xfId="0" applyNumberFormat="1" applyFont="1" applyFill="1"/>
    <xf numFmtId="0" fontId="32" fillId="8" borderId="12" xfId="0" applyFont="1" applyFill="1" applyBorder="1"/>
    <xf numFmtId="0" fontId="1" fillId="16" borderId="39" xfId="0" applyFont="1" applyFill="1" applyBorder="1" applyAlignment="1">
      <alignment vertical="center" wrapText="1"/>
    </xf>
    <xf numFmtId="0" fontId="1" fillId="16" borderId="45" xfId="0" applyFont="1" applyFill="1" applyBorder="1" applyAlignment="1">
      <alignment vertical="center" wrapText="1"/>
    </xf>
    <xf numFmtId="0" fontId="0" fillId="0" borderId="45" xfId="0" applyBorder="1" applyAlignment="1">
      <alignment vertical="center" wrapText="1"/>
    </xf>
    <xf numFmtId="0" fontId="1" fillId="17" borderId="44" xfId="0" applyFont="1" applyFill="1" applyBorder="1" applyAlignment="1">
      <alignment vertical="center" wrapText="1"/>
    </xf>
    <xf numFmtId="0" fontId="0" fillId="0" borderId="47" xfId="0" applyBorder="1" applyAlignment="1">
      <alignment vertical="center" wrapText="1"/>
    </xf>
    <xf numFmtId="4" fontId="0" fillId="0" borderId="45" xfId="0" applyNumberFormat="1" applyBorder="1" applyAlignment="1">
      <alignment horizontal="right" vertical="center" wrapText="1"/>
    </xf>
    <xf numFmtId="0" fontId="0" fillId="0" borderId="0" xfId="0" applyAlignment="1">
      <alignment horizontal="right"/>
    </xf>
    <xf numFmtId="4" fontId="0" fillId="3" borderId="45" xfId="0" applyNumberFormat="1" applyFill="1" applyBorder="1" applyAlignment="1">
      <alignment horizontal="right" vertical="center" wrapText="1"/>
    </xf>
    <xf numFmtId="0" fontId="1" fillId="3" borderId="44" xfId="0" applyFont="1" applyFill="1" applyBorder="1" applyAlignment="1">
      <alignment vertical="center" wrapText="1"/>
    </xf>
    <xf numFmtId="0" fontId="35" fillId="0" borderId="0" xfId="0" applyFont="1"/>
    <xf numFmtId="4" fontId="9" fillId="0" borderId="0" xfId="0" applyNumberFormat="1" applyFont="1" applyAlignment="1">
      <alignment horizontal="left"/>
    </xf>
    <xf numFmtId="166" fontId="0" fillId="3" borderId="45" xfId="0" applyNumberFormat="1" applyFill="1" applyBorder="1" applyAlignment="1">
      <alignment horizontal="right" vertical="center" wrapText="1"/>
    </xf>
    <xf numFmtId="0" fontId="1" fillId="3" borderId="38" xfId="0" applyFont="1" applyFill="1" applyBorder="1" applyAlignment="1">
      <alignment vertical="center" wrapText="1"/>
    </xf>
    <xf numFmtId="165" fontId="15" fillId="19" borderId="18" xfId="0" applyNumberFormat="1" applyFont="1" applyFill="1" applyBorder="1"/>
    <xf numFmtId="165" fontId="15" fillId="19" borderId="20" xfId="0" applyNumberFormat="1" applyFont="1" applyFill="1" applyBorder="1"/>
    <xf numFmtId="0" fontId="32" fillId="0" borderId="0" xfId="0" applyFont="1" applyAlignment="1">
      <alignment horizontal="left"/>
    </xf>
    <xf numFmtId="0" fontId="0" fillId="19" borderId="30" xfId="0" applyFill="1" applyBorder="1"/>
    <xf numFmtId="4" fontId="0" fillId="19" borderId="30" xfId="0" applyNumberFormat="1" applyFill="1" applyBorder="1"/>
    <xf numFmtId="0" fontId="0" fillId="19" borderId="30" xfId="0" applyFill="1" applyBorder="1" applyAlignment="1">
      <alignment horizontal="center"/>
    </xf>
    <xf numFmtId="164" fontId="0" fillId="19" borderId="30" xfId="0" applyNumberFormat="1" applyFill="1" applyBorder="1"/>
    <xf numFmtId="0" fontId="0" fillId="19" borderId="1" xfId="0" applyFill="1" applyBorder="1"/>
    <xf numFmtId="4" fontId="0" fillId="19" borderId="1" xfId="0" applyNumberFormat="1" applyFill="1" applyBorder="1"/>
    <xf numFmtId="0" fontId="0" fillId="19" borderId="1" xfId="0" applyFill="1" applyBorder="1" applyAlignment="1">
      <alignment horizontal="center"/>
    </xf>
    <xf numFmtId="164" fontId="0" fillId="19" borderId="1" xfId="0" applyNumberFormat="1" applyFill="1" applyBorder="1"/>
    <xf numFmtId="0" fontId="1" fillId="2" borderId="1" xfId="0" applyFont="1" applyFill="1" applyBorder="1" applyAlignment="1" applyProtection="1">
      <alignment horizontal="right" vertical="center"/>
      <protection locked="0"/>
    </xf>
    <xf numFmtId="0" fontId="1" fillId="3" borderId="46" xfId="0" applyFont="1" applyFill="1" applyBorder="1" applyAlignment="1">
      <alignment vertical="center" wrapText="1"/>
    </xf>
    <xf numFmtId="4" fontId="0" fillId="3" borderId="44" xfId="0" applyNumberFormat="1" applyFill="1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46" xfId="0" applyBorder="1" applyAlignment="1">
      <alignment horizontal="right" vertical="center" wrapText="1"/>
    </xf>
    <xf numFmtId="0" fontId="0" fillId="0" borderId="44" xfId="0" applyBorder="1" applyAlignment="1">
      <alignment horizontal="right" vertical="center" wrapText="1"/>
    </xf>
    <xf numFmtId="4" fontId="0" fillId="3" borderId="44" xfId="0" applyNumberFormat="1" applyFill="1" applyBorder="1" applyAlignment="1">
      <alignment horizontal="center" vertical="center" wrapText="1"/>
    </xf>
    <xf numFmtId="0" fontId="0" fillId="20" borderId="44" xfId="0" applyFill="1" applyBorder="1" applyAlignment="1">
      <alignment vertical="center" wrapText="1"/>
    </xf>
    <xf numFmtId="0" fontId="0" fillId="20" borderId="46" xfId="0" applyFill="1" applyBorder="1" applyAlignment="1">
      <alignment vertical="center" wrapText="1"/>
    </xf>
    <xf numFmtId="2" fontId="29" fillId="14" borderId="48" xfId="0" applyNumberFormat="1" applyFont="1" applyFill="1" applyBorder="1" applyAlignment="1">
      <alignment horizontal="right" wrapText="1"/>
    </xf>
    <xf numFmtId="4" fontId="5" fillId="14" borderId="49" xfId="0" applyNumberFormat="1" applyFont="1" applyFill="1" applyBorder="1"/>
    <xf numFmtId="4" fontId="5" fillId="14" borderId="50" xfId="0" applyNumberFormat="1" applyFont="1" applyFill="1" applyBorder="1"/>
    <xf numFmtId="2" fontId="5" fillId="10" borderId="36" xfId="0" applyNumberFormat="1" applyFont="1" applyFill="1" applyBorder="1" applyAlignment="1">
      <alignment horizontal="right" wrapText="1"/>
    </xf>
    <xf numFmtId="2" fontId="29" fillId="10" borderId="36" xfId="0" applyNumberFormat="1" applyFont="1" applyFill="1" applyBorder="1" applyAlignment="1">
      <alignment horizontal="right" wrapText="1"/>
    </xf>
    <xf numFmtId="2" fontId="0" fillId="7" borderId="11" xfId="0" applyNumberFormat="1" applyFill="1" applyBorder="1" applyAlignment="1">
      <alignment vertical="center"/>
    </xf>
    <xf numFmtId="2" fontId="0" fillId="7" borderId="2" xfId="0" applyNumberFormat="1" applyFill="1" applyBorder="1" applyAlignment="1">
      <alignment vertical="center"/>
    </xf>
    <xf numFmtId="169" fontId="0" fillId="7" borderId="15" xfId="0" applyNumberFormat="1" applyFill="1" applyBorder="1" applyAlignment="1">
      <alignment vertical="center"/>
    </xf>
    <xf numFmtId="170" fontId="0" fillId="6" borderId="44" xfId="0" applyNumberFormat="1" applyFill="1" applyBorder="1" applyAlignment="1">
      <alignment horizontal="right" vertical="center" wrapText="1"/>
    </xf>
    <xf numFmtId="170" fontId="0" fillId="20" borderId="45" xfId="0" applyNumberFormat="1" applyFill="1" applyBorder="1" applyAlignment="1">
      <alignment horizontal="right" vertical="center" wrapText="1"/>
    </xf>
    <xf numFmtId="1" fontId="0" fillId="6" borderId="44" xfId="0" applyNumberFormat="1" applyFill="1" applyBorder="1" applyAlignment="1">
      <alignment horizontal="right" vertical="center" wrapText="1"/>
    </xf>
    <xf numFmtId="1" fontId="0" fillId="6" borderId="46" xfId="0" applyNumberFormat="1" applyFill="1" applyBorder="1" applyAlignment="1">
      <alignment horizontal="right" vertical="center" wrapText="1"/>
    </xf>
    <xf numFmtId="1" fontId="0" fillId="20" borderId="44" xfId="0" applyNumberFormat="1" applyFill="1" applyBorder="1" applyAlignment="1">
      <alignment horizontal="right" vertical="center" wrapText="1"/>
    </xf>
    <xf numFmtId="1" fontId="0" fillId="20" borderId="46" xfId="0" applyNumberFormat="1" applyFill="1" applyBorder="1" applyAlignment="1">
      <alignment horizontal="right" vertical="center" wrapText="1"/>
    </xf>
    <xf numFmtId="0" fontId="29" fillId="3" borderId="44" xfId="0" applyFont="1" applyFill="1" applyBorder="1" applyAlignment="1">
      <alignment vertical="center" wrapText="1"/>
    </xf>
    <xf numFmtId="0" fontId="5" fillId="0" borderId="45" xfId="0" applyFont="1" applyBorder="1" applyAlignment="1">
      <alignment vertical="center" wrapText="1"/>
    </xf>
    <xf numFmtId="4" fontId="5" fillId="3" borderId="45" xfId="0" applyNumberFormat="1" applyFont="1" applyFill="1" applyBorder="1" applyAlignment="1">
      <alignment horizontal="right" vertical="center" wrapText="1"/>
    </xf>
    <xf numFmtId="4" fontId="5" fillId="0" borderId="45" xfId="0" applyNumberFormat="1" applyFont="1" applyBorder="1" applyAlignment="1">
      <alignment horizontal="right" vertical="center" wrapText="1"/>
    </xf>
    <xf numFmtId="166" fontId="5" fillId="3" borderId="45" xfId="0" applyNumberFormat="1" applyFont="1" applyFill="1" applyBorder="1" applyAlignment="1">
      <alignment horizontal="right" vertical="center" wrapText="1"/>
    </xf>
    <xf numFmtId="4" fontId="5" fillId="3" borderId="44" xfId="0" applyNumberFormat="1" applyFont="1" applyFill="1" applyBorder="1" applyAlignment="1">
      <alignment horizontal="right" vertical="center" wrapText="1"/>
    </xf>
    <xf numFmtId="4" fontId="5" fillId="3" borderId="44" xfId="0" applyNumberFormat="1" applyFont="1" applyFill="1" applyBorder="1" applyAlignment="1">
      <alignment horizontal="center" vertical="center" wrapText="1"/>
    </xf>
    <xf numFmtId="9" fontId="0" fillId="0" borderId="0" xfId="0" applyNumberFormat="1"/>
    <xf numFmtId="0" fontId="5" fillId="0" borderId="46" xfId="0" applyFont="1" applyBorder="1" applyAlignment="1">
      <alignment vertical="center" wrapText="1"/>
    </xf>
    <xf numFmtId="4" fontId="1" fillId="8" borderId="51" xfId="0" applyNumberFormat="1" applyFont="1" applyFill="1" applyBorder="1"/>
    <xf numFmtId="4" fontId="1" fillId="8" borderId="52" xfId="0" applyNumberFormat="1" applyFont="1" applyFill="1" applyBorder="1"/>
    <xf numFmtId="4" fontId="1" fillId="8" borderId="53" xfId="0" applyNumberFormat="1" applyFont="1" applyFill="1" applyBorder="1"/>
    <xf numFmtId="0" fontId="29" fillId="8" borderId="48" xfId="0" applyFont="1" applyFill="1" applyBorder="1"/>
    <xf numFmtId="0" fontId="29" fillId="8" borderId="49" xfId="0" applyFont="1" applyFill="1" applyBorder="1"/>
    <xf numFmtId="0" fontId="29" fillId="8" borderId="50" xfId="0" applyFont="1" applyFill="1" applyBorder="1"/>
    <xf numFmtId="0" fontId="20" fillId="0" borderId="0" xfId="0" applyFont="1"/>
    <xf numFmtId="0" fontId="36" fillId="0" borderId="0" xfId="0" applyFont="1" applyAlignment="1">
      <alignment horizontal="center"/>
    </xf>
    <xf numFmtId="0" fontId="20" fillId="0" borderId="1" xfId="0" applyFont="1" applyBorder="1"/>
    <xf numFmtId="10" fontId="20" fillId="0" borderId="1" xfId="0" applyNumberFormat="1" applyFont="1" applyBorder="1" applyAlignment="1">
      <alignment horizontal="center"/>
    </xf>
    <xf numFmtId="170" fontId="20" fillId="0" borderId="1" xfId="0" applyNumberFormat="1" applyFont="1" applyBorder="1" applyAlignment="1">
      <alignment horizontal="right" vertical="center"/>
    </xf>
    <xf numFmtId="4" fontId="0" fillId="2" borderId="1" xfId="0" applyNumberFormat="1" applyFill="1" applyBorder="1"/>
    <xf numFmtId="4" fontId="0" fillId="2" borderId="37" xfId="0" applyNumberFormat="1" applyFill="1" applyBorder="1"/>
    <xf numFmtId="4" fontId="3" fillId="2" borderId="9" xfId="0" applyNumberFormat="1" applyFont="1" applyFill="1" applyBorder="1"/>
    <xf numFmtId="4" fontId="30" fillId="2" borderId="10" xfId="0" applyNumberFormat="1" applyFont="1" applyFill="1" applyBorder="1"/>
    <xf numFmtId="4" fontId="30" fillId="2" borderId="11" xfId="0" applyNumberFormat="1" applyFont="1" applyFill="1" applyBorder="1"/>
    <xf numFmtId="0" fontId="32" fillId="2" borderId="12" xfId="0" applyFont="1" applyFill="1" applyBorder="1"/>
    <xf numFmtId="0" fontId="0" fillId="2" borderId="0" xfId="0" applyFill="1"/>
    <xf numFmtId="4" fontId="34" fillId="2" borderId="2" xfId="0" applyNumberFormat="1" applyFont="1" applyFill="1" applyBorder="1" applyAlignment="1">
      <alignment horizontal="left"/>
    </xf>
    <xf numFmtId="0" fontId="31" fillId="2" borderId="12" xfId="0" applyFont="1" applyFill="1" applyBorder="1"/>
    <xf numFmtId="0" fontId="31" fillId="2" borderId="0" xfId="0" applyFont="1" applyFill="1"/>
    <xf numFmtId="168" fontId="31" fillId="2" borderId="2" xfId="0" applyNumberFormat="1" applyFont="1" applyFill="1" applyBorder="1" applyAlignment="1">
      <alignment horizontal="left"/>
    </xf>
    <xf numFmtId="0" fontId="5" fillId="2" borderId="12" xfId="0" applyFont="1" applyFill="1" applyBorder="1"/>
    <xf numFmtId="0" fontId="5" fillId="2" borderId="0" xfId="0" applyFont="1" applyFill="1"/>
    <xf numFmtId="0" fontId="5" fillId="2" borderId="13" xfId="0" applyFont="1" applyFill="1" applyBorder="1"/>
    <xf numFmtId="0" fontId="5" fillId="2" borderId="14" xfId="0" applyFont="1" applyFill="1" applyBorder="1"/>
    <xf numFmtId="4" fontId="5" fillId="2" borderId="15" xfId="0" applyNumberFormat="1" applyFont="1" applyFill="1" applyBorder="1" applyAlignment="1">
      <alignment horizontal="left"/>
    </xf>
    <xf numFmtId="2" fontId="0" fillId="0" borderId="0" xfId="0" applyNumberFormat="1"/>
    <xf numFmtId="0" fontId="25" fillId="0" borderId="0" xfId="0" applyFont="1"/>
    <xf numFmtId="0" fontId="1" fillId="0" borderId="54" xfId="0" applyFont="1" applyBorder="1" applyAlignment="1">
      <alignment wrapText="1"/>
    </xf>
    <xf numFmtId="0" fontId="1" fillId="0" borderId="40" xfId="0" applyFont="1" applyBorder="1"/>
    <xf numFmtId="0" fontId="1" fillId="0" borderId="41" xfId="0" applyFont="1" applyBorder="1"/>
    <xf numFmtId="169" fontId="17" fillId="0" borderId="0" xfId="0" applyNumberFormat="1" applyFont="1"/>
    <xf numFmtId="0" fontId="0" fillId="0" borderId="18" xfId="0" applyBorder="1"/>
    <xf numFmtId="0" fontId="0" fillId="0" borderId="20" xfId="0" applyBorder="1"/>
    <xf numFmtId="0" fontId="1" fillId="0" borderId="55" xfId="0" applyFont="1" applyBorder="1" applyAlignment="1">
      <alignment wrapText="1"/>
    </xf>
    <xf numFmtId="171" fontId="0" fillId="0" borderId="56" xfId="0" applyNumberFormat="1" applyBorder="1"/>
    <xf numFmtId="0" fontId="0" fillId="0" borderId="47" xfId="0" applyBorder="1"/>
    <xf numFmtId="2" fontId="5" fillId="0" borderId="0" xfId="0" applyNumberFormat="1" applyFont="1"/>
    <xf numFmtId="2" fontId="1" fillId="22" borderId="12" xfId="0" applyNumberFormat="1" applyFont="1" applyFill="1" applyBorder="1"/>
    <xf numFmtId="172" fontId="1" fillId="0" borderId="0" xfId="0" applyNumberFormat="1" applyFont="1"/>
    <xf numFmtId="2" fontId="0" fillId="2" borderId="1" xfId="0" applyNumberFormat="1" applyFill="1" applyBorder="1" applyProtection="1">
      <protection locked="0"/>
    </xf>
    <xf numFmtId="2" fontId="0" fillId="2" borderId="29" xfId="0" applyNumberFormat="1" applyFill="1" applyBorder="1" applyProtection="1">
      <protection locked="0"/>
    </xf>
    <xf numFmtId="1" fontId="1" fillId="21" borderId="10" xfId="0" applyNumberFormat="1" applyFont="1" applyFill="1" applyBorder="1" applyAlignment="1">
      <alignment horizontal="center"/>
    </xf>
    <xf numFmtId="2" fontId="1" fillId="0" borderId="0" xfId="0" applyNumberFormat="1" applyFont="1"/>
    <xf numFmtId="2" fontId="0" fillId="2" borderId="30" xfId="0" applyNumberFormat="1" applyFill="1" applyBorder="1" applyProtection="1">
      <protection locked="0"/>
    </xf>
    <xf numFmtId="2" fontId="1" fillId="22" borderId="9" xfId="0" applyNumberFormat="1" applyFont="1" applyFill="1" applyBorder="1"/>
    <xf numFmtId="2" fontId="1" fillId="22" borderId="13" xfId="0" applyNumberFormat="1" applyFont="1" applyFill="1" applyBorder="1"/>
    <xf numFmtId="1" fontId="1" fillId="21" borderId="9" xfId="0" applyNumberFormat="1" applyFont="1" applyFill="1" applyBorder="1" applyAlignment="1">
      <alignment horizontal="center"/>
    </xf>
    <xf numFmtId="1" fontId="1" fillId="21" borderId="11" xfId="0" applyNumberFormat="1" applyFont="1" applyFill="1" applyBorder="1" applyAlignment="1">
      <alignment horizontal="center"/>
    </xf>
    <xf numFmtId="10" fontId="0" fillId="0" borderId="0" xfId="0" applyNumberFormat="1"/>
    <xf numFmtId="10" fontId="0" fillId="0" borderId="2" xfId="0" applyNumberFormat="1" applyBorder="1"/>
    <xf numFmtId="10" fontId="0" fillId="0" borderId="14" xfId="0" applyNumberFormat="1" applyBorder="1"/>
    <xf numFmtId="10" fontId="0" fillId="0" borderId="15" xfId="0" applyNumberFormat="1" applyBorder="1"/>
    <xf numFmtId="0" fontId="0" fillId="0" borderId="23" xfId="0" applyBorder="1"/>
    <xf numFmtId="0" fontId="1" fillId="0" borderId="0" xfId="0" applyFont="1" applyAlignment="1">
      <alignment horizontal="right" vertical="center" textRotation="90"/>
    </xf>
    <xf numFmtId="2" fontId="0" fillId="0" borderId="30" xfId="0" applyNumberFormat="1" applyBorder="1"/>
    <xf numFmtId="2" fontId="0" fillId="0" borderId="29" xfId="0" applyNumberFormat="1" applyBorder="1"/>
    <xf numFmtId="166" fontId="0" fillId="0" borderId="1" xfId="0" applyNumberFormat="1" applyBorder="1"/>
    <xf numFmtId="164" fontId="0" fillId="10" borderId="1" xfId="0" applyNumberFormat="1" applyFill="1" applyBorder="1"/>
    <xf numFmtId="164" fontId="0" fillId="8" borderId="1" xfId="0" applyNumberFormat="1" applyFill="1" applyBorder="1"/>
    <xf numFmtId="0" fontId="1" fillId="17" borderId="46" xfId="0" applyFont="1" applyFill="1" applyBorder="1" applyAlignment="1">
      <alignment vertical="center" wrapText="1"/>
    </xf>
    <xf numFmtId="0" fontId="28" fillId="15" borderId="0" xfId="0" applyFont="1" applyFill="1"/>
    <xf numFmtId="10" fontId="17" fillId="3" borderId="0" xfId="2" applyNumberFormat="1" applyFont="1" applyFill="1" applyBorder="1"/>
    <xf numFmtId="4" fontId="5" fillId="8" borderId="1" xfId="0" applyNumberFormat="1" applyFont="1" applyFill="1" applyBorder="1"/>
    <xf numFmtId="10" fontId="5" fillId="3" borderId="43" xfId="2" applyNumberFormat="1" applyFont="1" applyFill="1" applyBorder="1"/>
    <xf numFmtId="10" fontId="5" fillId="3" borderId="0" xfId="2" applyNumberFormat="1" applyFont="1" applyFill="1" applyBorder="1"/>
    <xf numFmtId="0" fontId="27" fillId="0" borderId="0" xfId="0" applyFont="1" applyAlignment="1">
      <alignment horizontal="left" vertical="top"/>
    </xf>
    <xf numFmtId="0" fontId="23" fillId="0" borderId="0" xfId="0" applyFont="1" applyAlignment="1">
      <alignment horizontal="left" vertical="top"/>
    </xf>
    <xf numFmtId="14" fontId="23" fillId="0" borderId="0" xfId="0" applyNumberFormat="1" applyFont="1" applyAlignment="1">
      <alignment horizontal="left" vertical="top"/>
    </xf>
    <xf numFmtId="0" fontId="1" fillId="11" borderId="38" xfId="0" applyFont="1" applyFill="1" applyBorder="1" applyAlignment="1">
      <alignment vertical="center" wrapText="1"/>
    </xf>
    <xf numFmtId="0" fontId="1" fillId="11" borderId="39" xfId="0" applyFont="1" applyFill="1" applyBorder="1" applyAlignment="1">
      <alignment horizontal="center" vertical="center" wrapText="1"/>
    </xf>
    <xf numFmtId="0" fontId="1" fillId="11" borderId="39" xfId="0" applyFont="1" applyFill="1" applyBorder="1" applyAlignment="1">
      <alignment horizontal="right" vertical="center" wrapText="1"/>
    </xf>
    <xf numFmtId="0" fontId="0" fillId="0" borderId="40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26" fillId="0" borderId="40" xfId="0" applyFont="1" applyBorder="1" applyAlignment="1">
      <alignment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41" xfId="0" applyFont="1" applyBorder="1" applyAlignment="1">
      <alignment vertical="center" wrapText="1"/>
    </xf>
    <xf numFmtId="0" fontId="26" fillId="0" borderId="29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4" fontId="20" fillId="0" borderId="0" xfId="0" applyNumberFormat="1" applyFont="1"/>
    <xf numFmtId="0" fontId="1" fillId="5" borderId="1" xfId="0" applyFont="1" applyFill="1" applyBorder="1"/>
    <xf numFmtId="0" fontId="1" fillId="5" borderId="1" xfId="0" applyFont="1" applyFill="1" applyBorder="1" applyAlignment="1">
      <alignment horizontal="right"/>
    </xf>
    <xf numFmtId="0" fontId="23" fillId="0" borderId="0" xfId="0" applyFont="1" applyAlignment="1">
      <alignment horizontal="right"/>
    </xf>
    <xf numFmtId="14" fontId="23" fillId="0" borderId="0" xfId="0" applyNumberFormat="1" applyFont="1" applyAlignment="1">
      <alignment horizontal="right"/>
    </xf>
    <xf numFmtId="0" fontId="0" fillId="0" borderId="1" xfId="0" applyBorder="1" applyAlignment="1">
      <alignment wrapText="1"/>
    </xf>
    <xf numFmtId="0" fontId="12" fillId="0" borderId="0" xfId="0" applyFont="1" applyAlignment="1">
      <alignment vertical="top"/>
    </xf>
    <xf numFmtId="10" fontId="0" fillId="0" borderId="0" xfId="0" applyNumberFormat="1" applyAlignment="1">
      <alignment vertical="top"/>
    </xf>
    <xf numFmtId="0" fontId="0" fillId="0" borderId="0" xfId="0" applyAlignment="1">
      <alignment vertical="top"/>
    </xf>
    <xf numFmtId="0" fontId="3" fillId="0" borderId="0" xfId="0" applyFont="1"/>
    <xf numFmtId="0" fontId="41" fillId="0" borderId="0" xfId="0" applyFont="1"/>
    <xf numFmtId="14" fontId="0" fillId="0" borderId="0" xfId="0" applyNumberFormat="1"/>
    <xf numFmtId="0" fontId="11" fillId="0" borderId="0" xfId="0" applyFont="1"/>
    <xf numFmtId="0" fontId="42" fillId="0" borderId="0" xfId="0" applyFont="1"/>
    <xf numFmtId="0" fontId="0" fillId="0" borderId="0" xfId="0" applyAlignment="1">
      <alignment wrapText="1"/>
    </xf>
    <xf numFmtId="0" fontId="0" fillId="0" borderId="0" xfId="0"/>
    <xf numFmtId="0" fontId="19" fillId="8" borderId="35" xfId="0" applyFont="1" applyFill="1" applyBorder="1" applyAlignment="1">
      <alignment horizontal="center"/>
    </xf>
    <xf numFmtId="0" fontId="21" fillId="8" borderId="36" xfId="0" applyFont="1" applyFill="1" applyBorder="1" applyAlignment="1">
      <alignment horizontal="center"/>
    </xf>
    <xf numFmtId="0" fontId="19" fillId="10" borderId="35" xfId="0" applyFont="1" applyFill="1" applyBorder="1" applyAlignment="1">
      <alignment horizontal="center"/>
    </xf>
    <xf numFmtId="0" fontId="21" fillId="10" borderId="36" xfId="0" applyFont="1" applyFill="1" applyBorder="1" applyAlignment="1">
      <alignment horizontal="center"/>
    </xf>
    <xf numFmtId="10" fontId="25" fillId="0" borderId="12" xfId="0" applyNumberFormat="1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4" fillId="0" borderId="34" xfId="0" applyFont="1" applyBorder="1" applyAlignment="1">
      <alignment horizontal="center" vertical="center" textRotation="90"/>
    </xf>
    <xf numFmtId="0" fontId="4" fillId="0" borderId="31" xfId="0" applyFont="1" applyBorder="1" applyAlignment="1">
      <alignment horizontal="center" vertical="center" textRotation="90"/>
    </xf>
    <xf numFmtId="0" fontId="4" fillId="0" borderId="32" xfId="0" applyFont="1" applyBorder="1" applyAlignment="1">
      <alignment horizontal="center" vertical="center" textRotation="90"/>
    </xf>
    <xf numFmtId="0" fontId="0" fillId="0" borderId="31" xfId="0" applyBorder="1" applyAlignment="1">
      <alignment horizontal="center" vertical="center" textRotation="90"/>
    </xf>
    <xf numFmtId="0" fontId="0" fillId="0" borderId="32" xfId="0" applyBorder="1" applyAlignment="1">
      <alignment horizontal="center" vertical="center" textRotation="90"/>
    </xf>
    <xf numFmtId="0" fontId="1" fillId="8" borderId="35" xfId="0" applyFont="1" applyFill="1" applyBorder="1" applyAlignment="1">
      <alignment horizontal="center"/>
    </xf>
    <xf numFmtId="0" fontId="0" fillId="8" borderId="36" xfId="0" applyFill="1" applyBorder="1" applyAlignment="1">
      <alignment horizontal="center"/>
    </xf>
    <xf numFmtId="0" fontId="1" fillId="10" borderId="35" xfId="0" applyFont="1" applyFill="1" applyBorder="1" applyAlignment="1">
      <alignment horizontal="center"/>
    </xf>
    <xf numFmtId="0" fontId="0" fillId="10" borderId="36" xfId="0" applyFill="1" applyBorder="1" applyAlignment="1">
      <alignment horizontal="center"/>
    </xf>
    <xf numFmtId="0" fontId="1" fillId="8" borderId="1" xfId="0" applyFont="1" applyFill="1" applyBorder="1" applyAlignment="1">
      <alignment horizontal="center" vertical="center"/>
    </xf>
    <xf numFmtId="0" fontId="1" fillId="1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top" wrapText="1"/>
    </xf>
    <xf numFmtId="0" fontId="27" fillId="0" borderId="0" xfId="0" applyFont="1" applyAlignment="1">
      <alignment horizontal="left"/>
    </xf>
    <xf numFmtId="0" fontId="20" fillId="0" borderId="35" xfId="0" applyFont="1" applyBorder="1" applyAlignment="1">
      <alignment wrapText="1"/>
    </xf>
    <xf numFmtId="0" fontId="0" fillId="0" borderId="36" xfId="0" applyBorder="1" applyAlignment="1">
      <alignment wrapText="1"/>
    </xf>
    <xf numFmtId="0" fontId="1" fillId="16" borderId="38" xfId="0" applyFont="1" applyFill="1" applyBorder="1" applyAlignment="1">
      <alignment vertical="center" wrapText="1"/>
    </xf>
    <xf numFmtId="0" fontId="1" fillId="16" borderId="44" xfId="0" applyFont="1" applyFill="1" applyBorder="1" applyAlignment="1">
      <alignment vertical="center" wrapText="1"/>
    </xf>
    <xf numFmtId="0" fontId="1" fillId="18" borderId="38" xfId="0" applyFont="1" applyFill="1" applyBorder="1" applyAlignment="1">
      <alignment vertical="center" wrapText="1"/>
    </xf>
    <xf numFmtId="0" fontId="0" fillId="18" borderId="44" xfId="0" applyFill="1" applyBorder="1" applyAlignment="1">
      <alignment vertical="center" wrapText="1"/>
    </xf>
    <xf numFmtId="0" fontId="0" fillId="0" borderId="44" xfId="0" applyBorder="1" applyAlignment="1">
      <alignment vertical="center" wrapText="1"/>
    </xf>
    <xf numFmtId="0" fontId="1" fillId="16" borderId="38" xfId="0" applyFont="1" applyFill="1" applyBorder="1" applyAlignment="1">
      <alignment horizontal="center" wrapText="1"/>
    </xf>
    <xf numFmtId="0" fontId="0" fillId="0" borderId="44" xfId="0" applyBorder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vertical="top" wrapText="1"/>
    </xf>
    <xf numFmtId="0" fontId="1" fillId="0" borderId="2" xfId="0" applyFont="1" applyBorder="1" applyAlignment="1">
      <alignment horizontal="right" vertical="center" textRotation="90"/>
    </xf>
    <xf numFmtId="0" fontId="0" fillId="0" borderId="2" xfId="0" applyBorder="1" applyAlignment="1">
      <alignment horizontal="right" vertical="center" textRotation="90"/>
    </xf>
    <xf numFmtId="0" fontId="1" fillId="17" borderId="38" xfId="0" applyFont="1" applyFill="1" applyBorder="1" applyAlignment="1">
      <alignment vertical="center" wrapText="1"/>
    </xf>
    <xf numFmtId="0" fontId="1" fillId="20" borderId="38" xfId="0" applyFont="1" applyFill="1" applyBorder="1" applyAlignment="1">
      <alignment wrapText="1"/>
    </xf>
    <xf numFmtId="0" fontId="0" fillId="20" borderId="44" xfId="0" applyFill="1" applyBorder="1" applyAlignment="1">
      <alignment wrapText="1"/>
    </xf>
    <xf numFmtId="0" fontId="1" fillId="16" borderId="38" xfId="0" applyFont="1" applyFill="1" applyBorder="1" applyAlignment="1">
      <alignment wrapText="1"/>
    </xf>
    <xf numFmtId="0" fontId="1" fillId="16" borderId="44" xfId="0" applyFont="1" applyFill="1" applyBorder="1" applyAlignment="1">
      <alignment wrapText="1"/>
    </xf>
    <xf numFmtId="0" fontId="1" fillId="17" borderId="44" xfId="0" applyFont="1" applyFill="1" applyBorder="1" applyAlignment="1">
      <alignment vertical="center" wrapText="1"/>
    </xf>
    <xf numFmtId="0" fontId="1" fillId="6" borderId="38" xfId="0" applyFont="1" applyFill="1" applyBorder="1" applyAlignment="1">
      <alignment wrapText="1"/>
    </xf>
    <xf numFmtId="0" fontId="0" fillId="6" borderId="44" xfId="0" applyFill="1" applyBorder="1" applyAlignment="1">
      <alignment wrapText="1"/>
    </xf>
    <xf numFmtId="0" fontId="0" fillId="0" borderId="44" xfId="0" applyBorder="1" applyAlignment="1">
      <alignment wrapText="1"/>
    </xf>
    <xf numFmtId="0" fontId="20" fillId="0" borderId="1" xfId="0" applyFont="1" applyBorder="1" applyAlignment="1">
      <alignment wrapText="1"/>
    </xf>
    <xf numFmtId="0" fontId="9" fillId="0" borderId="24" xfId="0" applyFont="1" applyBorder="1" applyAlignment="1">
      <alignment horizontal="center" vertical="center" textRotation="90"/>
    </xf>
    <xf numFmtId="0" fontId="9" fillId="0" borderId="26" xfId="0" applyFont="1" applyBorder="1" applyAlignment="1">
      <alignment horizontal="center" vertical="center" textRotation="90"/>
    </xf>
    <xf numFmtId="0" fontId="9" fillId="0" borderId="28" xfId="0" applyFont="1" applyBorder="1" applyAlignment="1">
      <alignment horizontal="center" vertical="center" textRotation="90"/>
    </xf>
    <xf numFmtId="0" fontId="9" fillId="0" borderId="16" xfId="0" applyFont="1" applyBorder="1" applyAlignment="1">
      <alignment horizontal="center" vertical="center" textRotation="90"/>
    </xf>
    <xf numFmtId="0" fontId="9" fillId="0" borderId="19" xfId="0" applyFont="1" applyBorder="1" applyAlignment="1">
      <alignment horizontal="center" vertical="center" textRotation="90"/>
    </xf>
    <xf numFmtId="0" fontId="0" fillId="0" borderId="19" xfId="0" applyBorder="1" applyAlignment="1">
      <alignment horizontal="center" vertical="center" textRotation="90"/>
    </xf>
    <xf numFmtId="0" fontId="0" fillId="0" borderId="21" xfId="0" applyBorder="1" applyAlignment="1">
      <alignment horizontal="center" vertical="center" textRotation="90"/>
    </xf>
  </cellXfs>
  <cellStyles count="3">
    <cellStyle name="Link" xfId="1" builtinId="8"/>
    <cellStyle name="Prozent" xfId="2" builtinId="5"/>
    <cellStyle name="Standard" xfId="0" builtinId="0"/>
  </cellStyles>
  <dxfs count="31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font>
        <color auto="1"/>
      </font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3F69"/>
      <color rgb="FFFF9900"/>
      <color rgb="FF33CC33"/>
      <color rgb="FF4D4D4D"/>
      <color rgb="FFFF6161"/>
      <color rgb="FFFF6699"/>
      <color rgb="FFFFFFCC"/>
      <color rgb="FFFFFFFF"/>
      <color rgb="FF001929"/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DE"/>
              <a:t>Meerwasserzusammensetzung</a:t>
            </a:r>
          </a:p>
        </c:rich>
      </c:tx>
      <c:layout>
        <c:manualLayout>
          <c:xMode val="edge"/>
          <c:yMode val="edge"/>
          <c:x val="0.13642344706911635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ofPieChart>
        <c:ofPieType val="pie"/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69CD-435B-838A-21ADCB94E8F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69CD-435B-838A-21ADCB94E8F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69CD-435B-838A-21ADCB94E8F0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69CD-435B-838A-21ADCB94E8F0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69CD-435B-838A-21ADCB94E8F0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B-69CD-435B-838A-21ADCB94E8F0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D-69CD-435B-838A-21ADCB94E8F0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2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2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F-69CD-435B-838A-21ADCB94E8F0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3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3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1-69CD-435B-838A-21ADCB94E8F0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4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4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3-69CD-435B-838A-21ADCB94E8F0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5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5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5-69CD-435B-838A-21ADCB94E8F0}"/>
              </c:ext>
            </c:extLst>
          </c:dPt>
          <c:cat>
            <c:strRef>
              <c:f>Messergebnisse!$C$10:$C$19</c:f>
              <c:strCache>
                <c:ptCount val="10"/>
                <c:pt idx="0">
                  <c:v>Na</c:v>
                </c:pt>
                <c:pt idx="1">
                  <c:v>Cl</c:v>
                </c:pt>
                <c:pt idx="2">
                  <c:v>Mg</c:v>
                </c:pt>
                <c:pt idx="3">
                  <c:v>S</c:v>
                </c:pt>
                <c:pt idx="4">
                  <c:v>Ca</c:v>
                </c:pt>
                <c:pt idx="5">
                  <c:v>K</c:v>
                </c:pt>
                <c:pt idx="6">
                  <c:v>Br</c:v>
                </c:pt>
                <c:pt idx="7">
                  <c:v>Sr</c:v>
                </c:pt>
                <c:pt idx="8">
                  <c:v>B</c:v>
                </c:pt>
                <c:pt idx="9">
                  <c:v>F</c:v>
                </c:pt>
              </c:strCache>
            </c:strRef>
          </c:cat>
          <c:val>
            <c:numRef>
              <c:f>Messergebnisse!$D$10:$D$19</c:f>
              <c:numCache>
                <c:formatCode>#,##0.00</c:formatCode>
                <c:ptCount val="10"/>
                <c:pt idx="0">
                  <c:v>10878</c:v>
                </c:pt>
                <c:pt idx="1">
                  <c:v>19596</c:v>
                </c:pt>
                <c:pt idx="2">
                  <c:v>1375</c:v>
                </c:pt>
                <c:pt idx="3">
                  <c:v>921</c:v>
                </c:pt>
                <c:pt idx="4">
                  <c:v>424</c:v>
                </c:pt>
                <c:pt idx="5">
                  <c:v>380</c:v>
                </c:pt>
                <c:pt idx="6">
                  <c:v>70.2</c:v>
                </c:pt>
                <c:pt idx="7">
                  <c:v>8.09</c:v>
                </c:pt>
                <c:pt idx="8">
                  <c:v>4.7</c:v>
                </c:pt>
                <c:pt idx="9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19-48C4-85F2-B3C8F3DF48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secondPieSize val="75"/>
        <c:serLines>
          <c:spPr>
            <a:ln w="9525" cap="flat" cmpd="sng" algn="ctr">
              <a:solidFill>
                <a:schemeClr val="lt1">
                  <a:lumMod val="95000"/>
                  <a:alpha val="54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703080646444305E-2"/>
          <c:y val="0.85256771752625249"/>
          <c:w val="0.87763782599267526"/>
          <c:h val="5.80274972260715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min</c:v>
          </c:tx>
          <c:spPr>
            <a:ln w="25400" cap="rnd">
              <a:solidFill>
                <a:srgbClr val="00B050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12700">
                <a:solidFill>
                  <a:srgbClr val="00B050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cat>
            <c:strRef>
              <c:f>Hauptelemente!$B$7:$B$17</c:f>
              <c:strCache>
                <c:ptCount val="11"/>
                <c:pt idx="0">
                  <c:v>psu</c:v>
                </c:pt>
                <c:pt idx="1">
                  <c:v>Na</c:v>
                </c:pt>
                <c:pt idx="2">
                  <c:v>Cl</c:v>
                </c:pt>
                <c:pt idx="3">
                  <c:v>S</c:v>
                </c:pt>
                <c:pt idx="4">
                  <c:v>Mg</c:v>
                </c:pt>
                <c:pt idx="5">
                  <c:v>Ca</c:v>
                </c:pt>
                <c:pt idx="6">
                  <c:v>K</c:v>
                </c:pt>
                <c:pt idx="7">
                  <c:v>Br</c:v>
                </c:pt>
                <c:pt idx="8">
                  <c:v>Sr</c:v>
                </c:pt>
                <c:pt idx="9">
                  <c:v>B</c:v>
                </c:pt>
                <c:pt idx="10">
                  <c:v>F</c:v>
                </c:pt>
              </c:strCache>
            </c:strRef>
          </c:cat>
          <c:val>
            <c:numRef>
              <c:f>Hauptelemente!$J$7:$J$17</c:f>
              <c:numCache>
                <c:formatCode>0.00%</c:formatCode>
                <c:ptCount val="11"/>
                <c:pt idx="0">
                  <c:v>-2.8985507246376812E-2</c:v>
                </c:pt>
                <c:pt idx="1">
                  <c:v>-5.7586878709619059E-2</c:v>
                </c:pt>
                <c:pt idx="2">
                  <c:v>-4.0626925057814817E-2</c:v>
                </c:pt>
                <c:pt idx="3">
                  <c:v>-7.6086956521739246E-2</c:v>
                </c:pt>
                <c:pt idx="4">
                  <c:v>-8.6549440511532238E-2</c:v>
                </c:pt>
                <c:pt idx="5">
                  <c:v>-5.1458382736542532E-2</c:v>
                </c:pt>
                <c:pt idx="6">
                  <c:v>-5.7296767874632629E-2</c:v>
                </c:pt>
                <c:pt idx="7">
                  <c:v>-0.20058139534883718</c:v>
                </c:pt>
                <c:pt idx="8">
                  <c:v>-0.13580246913580252</c:v>
                </c:pt>
                <c:pt idx="9">
                  <c:v>-0.16114790286975714</c:v>
                </c:pt>
                <c:pt idx="10">
                  <c:v>-0.38461538461538464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DE-4D39-9AB5-7F55769EB64C}"/>
            </c:ext>
          </c:extLst>
        </c:ser>
        <c:ser>
          <c:idx val="1"/>
          <c:order val="1"/>
          <c:tx>
            <c:v>max</c:v>
          </c:tx>
          <c:spPr>
            <a:ln w="2540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cat>
            <c:strRef>
              <c:f>Hauptelemente!$B$7:$B$17</c:f>
              <c:strCache>
                <c:ptCount val="11"/>
                <c:pt idx="0">
                  <c:v>psu</c:v>
                </c:pt>
                <c:pt idx="1">
                  <c:v>Na</c:v>
                </c:pt>
                <c:pt idx="2">
                  <c:v>Cl</c:v>
                </c:pt>
                <c:pt idx="3">
                  <c:v>S</c:v>
                </c:pt>
                <c:pt idx="4">
                  <c:v>Mg</c:v>
                </c:pt>
                <c:pt idx="5">
                  <c:v>Ca</c:v>
                </c:pt>
                <c:pt idx="6">
                  <c:v>K</c:v>
                </c:pt>
                <c:pt idx="7">
                  <c:v>Br</c:v>
                </c:pt>
                <c:pt idx="8">
                  <c:v>Sr</c:v>
                </c:pt>
                <c:pt idx="9">
                  <c:v>B</c:v>
                </c:pt>
                <c:pt idx="10">
                  <c:v>F</c:v>
                </c:pt>
              </c:strCache>
            </c:strRef>
          </c:cat>
          <c:val>
            <c:numRef>
              <c:f>Hauptelemente!$L$7:$L$17</c:f>
              <c:numCache>
                <c:formatCode>0.00%</c:formatCode>
                <c:ptCount val="11"/>
                <c:pt idx="0">
                  <c:v>2.8985507246376812E-2</c:v>
                </c:pt>
                <c:pt idx="1">
                  <c:v>2.8498935254406225E-2</c:v>
                </c:pt>
                <c:pt idx="2">
                  <c:v>9.8663946759844356E-3</c:v>
                </c:pt>
                <c:pt idx="3">
                  <c:v>3.2608695652173891E-2</c:v>
                </c:pt>
                <c:pt idx="4">
                  <c:v>0.10375275938189864</c:v>
                </c:pt>
                <c:pt idx="5">
                  <c:v>5.5252549205596371E-2</c:v>
                </c:pt>
                <c:pt idx="6">
                  <c:v>2.8403525954946222E-2</c:v>
                </c:pt>
                <c:pt idx="7">
                  <c:v>0.16279069767441851</c:v>
                </c:pt>
                <c:pt idx="8">
                  <c:v>0.11111111111111099</c:v>
                </c:pt>
                <c:pt idx="9">
                  <c:v>0.30242825607064033</c:v>
                </c:pt>
                <c:pt idx="10">
                  <c:v>0.2307692307692307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FDE-4D39-9AB5-7F55769EB64C}"/>
            </c:ext>
          </c:extLst>
        </c:ser>
        <c:ser>
          <c:idx val="2"/>
          <c:order val="2"/>
          <c:tx>
            <c:v>Messwert</c:v>
          </c:tx>
          <c:spPr>
            <a:ln w="38100" cap="rnd">
              <a:solidFill>
                <a:srgbClr val="FFFF00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square"/>
            <c:size val="8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6350" cap="rnd">
                <a:solidFill>
                  <a:srgbClr val="FFC000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cat>
            <c:strRef>
              <c:f>Hauptelemente!$B$7:$B$17</c:f>
              <c:strCache>
                <c:ptCount val="11"/>
                <c:pt idx="0">
                  <c:v>psu</c:v>
                </c:pt>
                <c:pt idx="1">
                  <c:v>Na</c:v>
                </c:pt>
                <c:pt idx="2">
                  <c:v>Cl</c:v>
                </c:pt>
                <c:pt idx="3">
                  <c:v>S</c:v>
                </c:pt>
                <c:pt idx="4">
                  <c:v>Mg</c:v>
                </c:pt>
                <c:pt idx="5">
                  <c:v>Ca</c:v>
                </c:pt>
                <c:pt idx="6">
                  <c:v>K</c:v>
                </c:pt>
                <c:pt idx="7">
                  <c:v>Br</c:v>
                </c:pt>
                <c:pt idx="8">
                  <c:v>Sr</c:v>
                </c:pt>
                <c:pt idx="9">
                  <c:v>B</c:v>
                </c:pt>
                <c:pt idx="10">
                  <c:v>F</c:v>
                </c:pt>
              </c:strCache>
            </c:strRef>
          </c:cat>
          <c:val>
            <c:numRef>
              <c:f>Hauptelemente!$P$7:$P$17</c:f>
              <c:numCache>
                <c:formatCode>0.00%</c:formatCode>
                <c:ptCount val="11"/>
                <c:pt idx="0">
                  <c:v>0</c:v>
                </c:pt>
                <c:pt idx="1">
                  <c:v>1.3789299503574881E-5</c:v>
                </c:pt>
                <c:pt idx="2">
                  <c:v>3.7927565392354978E-3</c:v>
                </c:pt>
                <c:pt idx="3">
                  <c:v>1.5355979525360608E-2</c:v>
                </c:pt>
                <c:pt idx="4">
                  <c:v>5.8230649350649366E-2</c:v>
                </c:pt>
                <c:pt idx="5">
                  <c:v>1.963274932614556E-2</c:v>
                </c:pt>
                <c:pt idx="6">
                  <c:v>-5.9383458646616427E-2</c:v>
                </c:pt>
                <c:pt idx="7">
                  <c:v>3.3943833943834045E-2</c:v>
                </c:pt>
                <c:pt idx="8">
                  <c:v>1.3067278827476603E-2</c:v>
                </c:pt>
                <c:pt idx="9">
                  <c:v>4.9939209726443945E-2</c:v>
                </c:pt>
                <c:pt idx="10">
                  <c:v>1.4285714285714346E-2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FDE-4D39-9AB5-7F55769EB6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9788256"/>
        <c:axId val="549786616"/>
      </c:lineChart>
      <c:catAx>
        <c:axId val="5497882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@" sourceLinked="0"/>
        <c:majorTickMark val="cross"/>
        <c:minorTickMark val="none"/>
        <c:tickLblPos val="nextTo"/>
        <c:spPr>
          <a:noFill/>
          <a:ln w="19050" cap="flat" cmpd="sng" algn="ctr">
            <a:solidFill>
              <a:schemeClr val="accent6">
                <a:lumMod val="40000"/>
                <a:lumOff val="60000"/>
                <a:alpha val="82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49786616"/>
        <c:crosses val="autoZero"/>
        <c:auto val="1"/>
        <c:lblAlgn val="ctr"/>
        <c:lblOffset val="100"/>
        <c:noMultiLvlLbl val="0"/>
      </c:catAx>
      <c:valAx>
        <c:axId val="549786616"/>
        <c:scaling>
          <c:orientation val="minMax"/>
          <c:max val="0.35000000000000003"/>
          <c:min val="-0.35000000000000003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4978825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DE" sz="1600" b="1" i="0" u="none" strike="noStrike" baseline="0"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Anteil des Ammoniaks an der Summe Ammoniak/Ammonium in Abhängigkeit von pH-Wert, Temperatur und Salinität</a:t>
            </a:r>
            <a:endParaRPr kumimoji="0" lang="de-DE" sz="1600" b="1" i="0" u="none" strike="noStrike" kern="1200" cap="none" spc="100" normalizeH="0" baseline="0" noProof="0">
              <a:ln>
                <a:noFill/>
              </a:ln>
              <a:solidFill>
                <a:sysClr val="window" lastClr="FFFFFF">
                  <a:lumMod val="95000"/>
                </a:sys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Calibri" panose="020F0502020204030204"/>
            </a:endParaRPr>
          </a:p>
        </c:rich>
      </c:tx>
      <c:layout>
        <c:manualLayout>
          <c:xMode val="edge"/>
          <c:yMode val="edge"/>
          <c:x val="5.1111016528339361E-2"/>
          <c:y val="2.13577421815408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Ammonium_Ammoniak!$G$24</c:f>
              <c:strCache>
                <c:ptCount val="1"/>
                <c:pt idx="0">
                  <c:v>7,70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cat>
            <c:numRef>
              <c:f>Ammonium_Ammoniak!$H$23:$R$23</c:f>
              <c:numCache>
                <c:formatCode>0</c:formatCode>
                <c:ptCount val="11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</c:numCache>
            </c:numRef>
          </c:cat>
          <c:val>
            <c:numRef>
              <c:f>Ammonium_Ammoniak!$H$24:$R$24</c:f>
              <c:numCache>
                <c:formatCode>0.00%</c:formatCode>
                <c:ptCount val="11"/>
                <c:pt idx="0">
                  <c:v>1.4117926508905183E-2</c:v>
                </c:pt>
                <c:pt idx="1">
                  <c:v>1.5164754754743008E-2</c:v>
                </c:pt>
                <c:pt idx="2">
                  <c:v>1.628784468950471E-2</c:v>
                </c:pt>
                <c:pt idx="3">
                  <c:v>1.7492543574054192E-2</c:v>
                </c:pt>
                <c:pt idx="4">
                  <c:v>1.878454172786333E-2</c:v>
                </c:pt>
                <c:pt idx="5">
                  <c:v>2.0169889626681915E-2</c:v>
                </c:pt>
                <c:pt idx="6">
                  <c:v>2.1655015061677024E-2</c:v>
                </c:pt>
                <c:pt idx="7">
                  <c:v>2.3246740205043567E-2</c:v>
                </c:pt>
                <c:pt idx="8">
                  <c:v>2.4952298397547076E-2</c:v>
                </c:pt>
                <c:pt idx="9">
                  <c:v>2.6779350440388604E-2</c:v>
                </c:pt>
                <c:pt idx="10">
                  <c:v>2.8736000137012465E-2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07-43FE-AC74-88B9965A0863}"/>
            </c:ext>
          </c:extLst>
        </c:ser>
        <c:ser>
          <c:idx val="1"/>
          <c:order val="1"/>
          <c:tx>
            <c:strRef>
              <c:f>Ammonium_Ammoniak!$G$25</c:f>
              <c:strCache>
                <c:ptCount val="1"/>
                <c:pt idx="0">
                  <c:v>7,80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cat>
            <c:numRef>
              <c:f>Ammonium_Ammoniak!$H$23:$R$23</c:f>
              <c:numCache>
                <c:formatCode>0</c:formatCode>
                <c:ptCount val="11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</c:numCache>
            </c:numRef>
          </c:cat>
          <c:val>
            <c:numRef>
              <c:f>Ammonium_Ammoniak!$H$25:$R$25</c:f>
              <c:numCache>
                <c:formatCode>0.00%</c:formatCode>
                <c:ptCount val="11"/>
                <c:pt idx="0">
                  <c:v>1.7704865879332645E-2</c:v>
                </c:pt>
                <c:pt idx="1">
                  <c:v>1.9012224384886183E-2</c:v>
                </c:pt>
                <c:pt idx="2">
                  <c:v>2.0413993294342122E-2</c:v>
                </c:pt>
                <c:pt idx="3">
                  <c:v>2.1916665937878766E-2</c:v>
                </c:pt>
                <c:pt idx="4">
                  <c:v>2.3527132892402873E-2</c:v>
                </c:pt>
                <c:pt idx="5">
                  <c:v>2.5252698701473453E-2</c:v>
                </c:pt>
                <c:pt idx="6">
                  <c:v>2.7101098059193768E-2</c:v>
                </c:pt>
                <c:pt idx="7">
                  <c:v>2.908051119709085E-2</c:v>
                </c:pt>
                <c:pt idx="8">
                  <c:v>3.1199578171747209E-2</c:v>
                </c:pt>
                <c:pt idx="9">
                  <c:v>3.3467411705801788E-2</c:v>
                </c:pt>
                <c:pt idx="10">
                  <c:v>3.5893608185968193E-2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07-43FE-AC74-88B9965A0863}"/>
            </c:ext>
          </c:extLst>
        </c:ser>
        <c:ser>
          <c:idx val="2"/>
          <c:order val="2"/>
          <c:tx>
            <c:strRef>
              <c:f>Ammonium_Ammoniak!$G$26</c:f>
              <c:strCache>
                <c:ptCount val="1"/>
                <c:pt idx="0">
                  <c:v>7,90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cat>
            <c:numRef>
              <c:f>Ammonium_Ammoniak!$H$23:$R$23</c:f>
              <c:numCache>
                <c:formatCode>0</c:formatCode>
                <c:ptCount val="11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</c:numCache>
            </c:numRef>
          </c:cat>
          <c:val>
            <c:numRef>
              <c:f>Ammonium_Ammoniak!$H$26:$R$26</c:f>
              <c:numCache>
                <c:formatCode>0.00%</c:formatCode>
                <c:ptCount val="11"/>
                <c:pt idx="0">
                  <c:v>2.2181402241517535E-2</c:v>
                </c:pt>
                <c:pt idx="1">
                  <c:v>2.3810820114679176E-2</c:v>
                </c:pt>
                <c:pt idx="2">
                  <c:v>2.5556614965782994E-2</c:v>
                </c:pt>
                <c:pt idx="3">
                  <c:v>2.7426595823093584E-2</c:v>
                </c:pt>
                <c:pt idx="4">
                  <c:v>2.9429019756111167E-2</c:v>
                </c:pt>
                <c:pt idx="5">
                  <c:v>3.1572605944128584E-2</c:v>
                </c:pt>
                <c:pt idx="6">
                  <c:v>3.386654823463775E-2</c:v>
                </c:pt>
                <c:pt idx="7">
                  <c:v>3.6320525786575068E-2</c:v>
                </c:pt>
                <c:pt idx="8">
                  <c:v>3.8944711340194685E-2</c:v>
                </c:pt>
                <c:pt idx="9">
                  <c:v>4.1749776598932302E-2</c:v>
                </c:pt>
                <c:pt idx="10">
                  <c:v>4.4746894149576388E-2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07-43FE-AC74-88B9965A0863}"/>
            </c:ext>
          </c:extLst>
        </c:ser>
        <c:ser>
          <c:idx val="3"/>
          <c:order val="3"/>
          <c:tx>
            <c:strRef>
              <c:f>Ammonium_Ammoniak!$G$27</c:f>
              <c:strCache>
                <c:ptCount val="1"/>
                <c:pt idx="0">
                  <c:v>8,00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>
                <a:solidFill>
                  <a:schemeClr val="accent4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cat>
            <c:numRef>
              <c:f>Ammonium_Ammoniak!$H$23:$R$23</c:f>
              <c:numCache>
                <c:formatCode>0</c:formatCode>
                <c:ptCount val="11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</c:numCache>
            </c:numRef>
          </c:cat>
          <c:val>
            <c:numRef>
              <c:f>Ammonium_Ammoniak!$H$27:$R$27</c:f>
              <c:numCache>
                <c:formatCode>0.00%</c:formatCode>
                <c:ptCount val="11"/>
                <c:pt idx="0">
                  <c:v>2.7755884650632674E-2</c:v>
                </c:pt>
                <c:pt idx="1">
                  <c:v>2.978156899872653E-2</c:v>
                </c:pt>
                <c:pt idx="2">
                  <c:v>3.1949937615272705E-2</c:v>
                </c:pt>
                <c:pt idx="3">
                  <c:v>3.4270265778416277E-2</c:v>
                </c:pt>
                <c:pt idx="4">
                  <c:v>3.6752315657293429E-2</c:v>
                </c:pt>
                <c:pt idx="5">
                  <c:v>3.9406344130983852E-2</c:v>
                </c:pt>
                <c:pt idx="6">
                  <c:v>4.2243107626594729E-2</c:v>
                </c:pt>
                <c:pt idx="7">
                  <c:v>4.527386339259129E-2</c:v>
                </c:pt>
                <c:pt idx="8">
                  <c:v>4.8510366562451258E-2</c:v>
                </c:pt>
                <c:pt idx="9">
                  <c:v>5.196486230225051E-2</c:v>
                </c:pt>
                <c:pt idx="10">
                  <c:v>5.5650072275456437E-2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707-43FE-AC74-88B9965A0863}"/>
            </c:ext>
          </c:extLst>
        </c:ser>
        <c:ser>
          <c:idx val="4"/>
          <c:order val="4"/>
          <c:tx>
            <c:strRef>
              <c:f>Ammonium_Ammoniak!$G$28</c:f>
              <c:strCache>
                <c:ptCount val="1"/>
                <c:pt idx="0">
                  <c:v>8,10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>
                <a:solidFill>
                  <a:schemeClr val="accent5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cat>
            <c:numRef>
              <c:f>Ammonium_Ammoniak!$H$23:$R$23</c:f>
              <c:numCache>
                <c:formatCode>0</c:formatCode>
                <c:ptCount val="11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</c:numCache>
            </c:numRef>
          </c:cat>
          <c:val>
            <c:numRef>
              <c:f>Ammonium_Ammoniak!$H$28:$R$28</c:f>
              <c:numCache>
                <c:formatCode>0.00%</c:formatCode>
                <c:ptCount val="11"/>
                <c:pt idx="0">
                  <c:v>3.4678612621371258E-2</c:v>
                </c:pt>
                <c:pt idx="1">
                  <c:v>3.7189028492692774E-2</c:v>
                </c:pt>
                <c:pt idx="2">
                  <c:v>3.9873207863355305E-2</c:v>
                </c:pt>
                <c:pt idx="3">
                  <c:v>4.2741991922090015E-2</c:v>
                </c:pt>
                <c:pt idx="4">
                  <c:v>4.5806722496602899E-2</c:v>
                </c:pt>
                <c:pt idx="5">
                  <c:v>4.9079238336705647E-2</c:v>
                </c:pt>
                <c:pt idx="6">
                  <c:v>5.2571866355825995E-2</c:v>
                </c:pt>
                <c:pt idx="7">
                  <c:v>5.6297407054204884E-2</c:v>
                </c:pt>
                <c:pt idx="8">
                  <c:v>6.0269113290603374E-2</c:v>
                </c:pt>
                <c:pt idx="9">
                  <c:v>6.4500661518825567E-2</c:v>
                </c:pt>
                <c:pt idx="10">
                  <c:v>6.9006114563855414E-2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707-43FE-AC74-88B9965A0863}"/>
            </c:ext>
          </c:extLst>
        </c:ser>
        <c:ser>
          <c:idx val="5"/>
          <c:order val="5"/>
          <c:tx>
            <c:strRef>
              <c:f>Ammonium_Ammoniak!$G$29</c:f>
              <c:strCache>
                <c:ptCount val="1"/>
                <c:pt idx="0">
                  <c:v>8,20</c:v>
                </c:pt>
              </c:strCache>
            </c:strRef>
          </c:tx>
          <c:spPr>
            <a:ln w="34925" cap="rnd">
              <a:solidFill>
                <a:schemeClr val="accent6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>
                <a:solidFill>
                  <a:schemeClr val="accent6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cat>
            <c:numRef>
              <c:f>Ammonium_Ammoniak!$H$23:$R$23</c:f>
              <c:numCache>
                <c:formatCode>0</c:formatCode>
                <c:ptCount val="11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</c:numCache>
            </c:numRef>
          </c:cat>
          <c:val>
            <c:numRef>
              <c:f>Ammonium_Ammoniak!$H$29:$R$29</c:f>
              <c:numCache>
                <c:formatCode>0.00%</c:formatCode>
                <c:ptCount val="11"/>
                <c:pt idx="0">
                  <c:v>4.3246485441934442E-2</c:v>
                </c:pt>
                <c:pt idx="1">
                  <c:v>4.6345529814342763E-2</c:v>
                </c:pt>
                <c:pt idx="2">
                  <c:v>4.9654411304727974E-2</c:v>
                </c:pt>
                <c:pt idx="3">
                  <c:v>5.3185538158436407E-2</c:v>
                </c:pt>
                <c:pt idx="4">
                  <c:v>5.6951789106721482E-2</c:v>
                </c:pt>
                <c:pt idx="5">
                  <c:v>6.0966490926798678E-2</c:v>
                </c:pt>
                <c:pt idx="6">
                  <c:v>6.5243388312787656E-2</c:v>
                </c:pt>
                <c:pt idx="7">
                  <c:v>6.9796605126444006E-2</c:v>
                </c:pt>
                <c:pt idx="8">
                  <c:v>7.4640596070136581E-2</c:v>
                </c:pt>
                <c:pt idx="9">
                  <c:v>7.9790087815473018E-2</c:v>
                </c:pt>
                <c:pt idx="10">
                  <c:v>8.5260008634067339E-2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707-43FE-AC74-88B9965A0863}"/>
            </c:ext>
          </c:extLst>
        </c:ser>
        <c:ser>
          <c:idx val="6"/>
          <c:order val="6"/>
          <c:tx>
            <c:strRef>
              <c:f>Ammonium_Ammoniak!$G$30</c:f>
              <c:strCache>
                <c:ptCount val="1"/>
                <c:pt idx="0">
                  <c:v>8,30</c:v>
                </c:pt>
              </c:strCache>
            </c:strRef>
          </c:tx>
          <c:spPr>
            <a:ln w="34925" cap="rnd">
              <a:solidFill>
                <a:schemeClr val="accent1">
                  <a:lumMod val="6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>
                <a:solidFill>
                  <a:schemeClr val="accent1">
                    <a:lumMod val="60000"/>
                  </a:schemeClr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cat>
            <c:numRef>
              <c:f>Ammonium_Ammoniak!$H$23:$R$23</c:f>
              <c:numCache>
                <c:formatCode>0</c:formatCode>
                <c:ptCount val="11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</c:numCache>
            </c:numRef>
          </c:cat>
          <c:val>
            <c:numRef>
              <c:f>Ammonium_Ammoniak!$H$30:$R$30</c:f>
              <c:numCache>
                <c:formatCode>0.00%</c:formatCode>
                <c:ptCount val="11"/>
                <c:pt idx="0">
                  <c:v>5.380594103769086E-2</c:v>
                </c:pt>
                <c:pt idx="1">
                  <c:v>5.7613283880225283E-2</c:v>
                </c:pt>
                <c:pt idx="2">
                  <c:v>6.1671374914170858E-2</c:v>
                </c:pt>
                <c:pt idx="3">
                  <c:v>6.5994025966710765E-2</c:v>
                </c:pt>
                <c:pt idx="4">
                  <c:v>7.0595420554911442E-2</c:v>
                </c:pt>
                <c:pt idx="5">
                  <c:v>7.5490063842370517E-2</c:v>
                </c:pt>
                <c:pt idx="6">
                  <c:v>8.0692721888572558E-2</c:v>
                </c:pt>
                <c:pt idx="7">
                  <c:v>8.6218349242207989E-2</c:v>
                </c:pt>
                <c:pt idx="8">
                  <c:v>9.2082003975305249E-2</c:v>
                </c:pt>
                <c:pt idx="9">
                  <c:v>9.8298749334493035E-2</c:v>
                </c:pt>
                <c:pt idx="10">
                  <c:v>0.10488354130489101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707-43FE-AC74-88B9965A08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4251624"/>
        <c:axId val="534251952"/>
      </c:lineChart>
      <c:catAx>
        <c:axId val="53425162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4251952"/>
        <c:crosses val="autoZero"/>
        <c:auto val="1"/>
        <c:lblAlgn val="ctr"/>
        <c:lblOffset val="100"/>
        <c:noMultiLvlLbl val="0"/>
      </c:catAx>
      <c:valAx>
        <c:axId val="534251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4251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trlProps/ctrlProp1.xml><?xml version="1.0" encoding="utf-8"?>
<formControlPr xmlns="http://schemas.microsoft.com/office/spreadsheetml/2009/9/main" objectType="CheckBox" checked="Checked" fmlaLink="$K$2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200025</xdr:colOff>
      <xdr:row>7</xdr:row>
      <xdr:rowOff>9524</xdr:rowOff>
    </xdr:from>
    <xdr:ext cx="5343525" cy="1476375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00025" y="1800224"/>
          <a:ext cx="5343525" cy="14763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DE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Hinweis</a:t>
          </a:r>
          <a:r>
            <a:rPr lang="de-DE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: Alle in diesem Excel Programm enthaltetnen Angaben, Daten, Empfehlungen und Dosierberechnungen etc. wurden vom Autor nach besten</a:t>
          </a:r>
          <a:r>
            <a:rPr lang="de-DE" sz="11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Wissen und Gewissen erstellt und sorgfältig überprüft. Da inhaltliche Fehler nicht vollständig auszuschließen sind, übernimmt der Autor keinerlei Haftung.</a:t>
          </a:r>
        </a:p>
        <a:p>
          <a:endParaRPr lang="de-DE" sz="1100" b="0" i="0" u="none" strike="noStrike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de-DE" sz="11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Alle Rechte liegen beim Autor.</a:t>
          </a:r>
          <a:br>
            <a:rPr lang="de-DE" sz="11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de-DE" sz="11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Das gesamte Werk ist urheberrechtlich geschützt. Jede Verwertung außerhalb der Grenzen des Urheberrechtsschutzes ist ohne Zustimmung des Autor unzulässig und strafbar.</a:t>
          </a:r>
          <a:endParaRPr lang="de-DE" sz="1100"/>
        </a:p>
      </xdr:txBody>
    </xdr:sp>
    <xdr:clientData/>
  </xdr:oneCellAnchor>
  <xdr:twoCellAnchor editAs="oneCell">
    <xdr:from>
      <xdr:col>6</xdr:col>
      <xdr:colOff>400050</xdr:colOff>
      <xdr:row>0</xdr:row>
      <xdr:rowOff>209550</xdr:rowOff>
    </xdr:from>
    <xdr:to>
      <xdr:col>7</xdr:col>
      <xdr:colOff>710224</xdr:colOff>
      <xdr:row>4</xdr:row>
      <xdr:rowOff>1526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9600" y="209550"/>
          <a:ext cx="1072174" cy="1058801"/>
        </a:xfrm>
        <a:prstGeom prst="rect">
          <a:avLst/>
        </a:prstGeom>
      </xdr:spPr>
    </xdr:pic>
    <xdr:clientData/>
  </xdr:twoCellAnchor>
  <xdr:oneCellAnchor>
    <xdr:from>
      <xdr:col>0</xdr:col>
      <xdr:colOff>152399</xdr:colOff>
      <xdr:row>23</xdr:row>
      <xdr:rowOff>0</xdr:rowOff>
    </xdr:from>
    <xdr:ext cx="5419725" cy="647700"/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52399" y="4838700"/>
          <a:ext cx="5419725" cy="647700"/>
        </a:xfrm>
        <a:prstGeom prst="rect">
          <a:avLst/>
        </a:prstGeom>
        <a:solidFill>
          <a:schemeClr val="lt1">
            <a:lumMod val="8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1"/>
            <a:t>0.5%</a:t>
          </a:r>
          <a:r>
            <a:rPr lang="de-DE" sz="1100" b="1" baseline="0"/>
            <a:t> </a:t>
          </a:r>
          <a:r>
            <a:rPr lang="de-DE" sz="1100" b="1"/>
            <a:t>IB: </a:t>
          </a:r>
          <a:r>
            <a:rPr lang="de-DE" sz="1100" b="0"/>
            <a:t>Ionenbilanzrechner,</a:t>
          </a:r>
          <a:r>
            <a:rPr lang="de-DE" sz="1100" b="0" baseline="0"/>
            <a:t> der a</a:t>
          </a:r>
          <a:r>
            <a:rPr lang="de-DE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lle Anionen 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und Kationen  bei der Erstellung der Ionenbilanz berücksichtigt, die mit mindestens 0,5 % an der Kationen- beziehungsweise Anionenäquivalentkonzentrationssumme beteiligt sind. </a:t>
          </a:r>
          <a:endParaRPr lang="de-DE" sz="1100"/>
        </a:p>
      </xdr:txBody>
    </xdr:sp>
    <xdr:clientData/>
  </xdr:oneCellAnchor>
  <xdr:oneCellAnchor>
    <xdr:from>
      <xdr:col>0</xdr:col>
      <xdr:colOff>171449</xdr:colOff>
      <xdr:row>20</xdr:row>
      <xdr:rowOff>9525</xdr:rowOff>
    </xdr:from>
    <xdr:ext cx="5419725" cy="447675"/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71449" y="4276725"/>
          <a:ext cx="5419725" cy="447675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1"/>
            <a:t>Messergebnisse: 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 diesem Tab werden die Messergebnisse aus dem ICP Analysebogen eingetragen.</a:t>
          </a:r>
        </a:p>
        <a:p>
          <a:endParaRPr lang="de-DE" sz="1100"/>
        </a:p>
      </xdr:txBody>
    </xdr:sp>
    <xdr:clientData/>
  </xdr:oneCellAnchor>
  <xdr:oneCellAnchor>
    <xdr:from>
      <xdr:col>0</xdr:col>
      <xdr:colOff>161924</xdr:colOff>
      <xdr:row>26</xdr:row>
      <xdr:rowOff>161925</xdr:rowOff>
    </xdr:from>
    <xdr:ext cx="5419725" cy="647700"/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61924" y="5572125"/>
          <a:ext cx="5419725" cy="647700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1"/>
            <a:t>IB: </a:t>
          </a:r>
          <a:r>
            <a:rPr lang="de-DE" sz="1100" b="0"/>
            <a:t>Ionenbilanzrechner,</a:t>
          </a:r>
          <a:r>
            <a:rPr lang="de-DE" sz="1100" b="0" baseline="0"/>
            <a:t> der a</a:t>
          </a:r>
          <a:r>
            <a:rPr lang="de-DE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lle Anionen 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und Kationen  bei der Erstellung der Ionenbilanz berücksichtigt.</a:t>
          </a:r>
          <a:r>
            <a:rPr lang="de-DE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Berechnung 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der Salinität. Berechnung der Differenz</a:t>
          </a:r>
          <a:r>
            <a:rPr lang="de-DE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zum angepassten Idealwert und zu 35 psu. </a:t>
          </a:r>
          <a:endParaRPr lang="de-DE" sz="1100"/>
        </a:p>
      </xdr:txBody>
    </xdr:sp>
    <xdr:clientData/>
  </xdr:oneCellAnchor>
  <xdr:oneCellAnchor>
    <xdr:from>
      <xdr:col>0</xdr:col>
      <xdr:colOff>161924</xdr:colOff>
      <xdr:row>30</xdr:row>
      <xdr:rowOff>114300</xdr:rowOff>
    </xdr:from>
    <xdr:ext cx="5419725" cy="257175"/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61924" y="6286500"/>
          <a:ext cx="5419725" cy="257175"/>
        </a:xfrm>
        <a:prstGeom prst="rect">
          <a:avLst/>
        </a:prstGeom>
        <a:solidFill>
          <a:schemeClr val="lt1">
            <a:lumMod val="8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1"/>
            <a:t>Hauptelemente: </a:t>
          </a:r>
          <a:r>
            <a:rPr lang="de-DE" sz="1100" b="0"/>
            <a:t>Graphische Darstellung der Elemente in Bezug auf das Idealniveau.</a:t>
          </a:r>
        </a:p>
      </xdr:txBody>
    </xdr:sp>
    <xdr:clientData/>
  </xdr:oneCellAnchor>
  <xdr:oneCellAnchor>
    <xdr:from>
      <xdr:col>0</xdr:col>
      <xdr:colOff>152399</xdr:colOff>
      <xdr:row>32</xdr:row>
      <xdr:rowOff>57150</xdr:rowOff>
    </xdr:from>
    <xdr:ext cx="5419725" cy="542925"/>
    <xdr:sp macro="" textlink="">
      <xdr:nvSpPr>
        <xdr:cNvPr id="8" name="Textfeld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52399" y="6610350"/>
          <a:ext cx="5419725" cy="542925"/>
        </a:xfrm>
        <a:prstGeom prst="rect">
          <a:avLst/>
        </a:prstGeom>
        <a:solidFill>
          <a:schemeClr val="lt1">
            <a:lumMod val="8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1"/>
            <a:t>Ausgleich Defizit: </a:t>
          </a:r>
          <a:r>
            <a:rPr lang="de-DE" sz="1100" b="0"/>
            <a:t>Berechnung der Ausgleichmengen von Defiziten der einzelenen Hauptelemente.</a:t>
          </a:r>
        </a:p>
      </xdr:txBody>
    </xdr:sp>
    <xdr:clientData/>
  </xdr:oneCellAnchor>
  <xdr:oneCellAnchor>
    <xdr:from>
      <xdr:col>0</xdr:col>
      <xdr:colOff>142874</xdr:colOff>
      <xdr:row>35</xdr:row>
      <xdr:rowOff>66675</xdr:rowOff>
    </xdr:from>
    <xdr:ext cx="5438776" cy="457200"/>
    <xdr:sp macro="" textlink="">
      <xdr:nvSpPr>
        <xdr:cNvPr id="9" name="Textfeld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42874" y="7191375"/>
          <a:ext cx="5438776" cy="45720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1"/>
            <a:t>Salze: </a:t>
          </a:r>
          <a:r>
            <a:rPr lang="de-DE" sz="1100" b="0"/>
            <a:t>Aufzählung der verwendeten anorganischen Salze mit Molmassen</a:t>
          </a:r>
          <a:r>
            <a:rPr lang="de-DE" sz="1100" b="0" baseline="0"/>
            <a:t>, welche für den Ausgleich herangezogen werden.</a:t>
          </a:r>
          <a:endParaRPr lang="de-DE" sz="1100" b="0"/>
        </a:p>
      </xdr:txBody>
    </xdr:sp>
    <xdr:clientData/>
  </xdr:oneCellAnchor>
  <xdr:oneCellAnchor>
    <xdr:from>
      <xdr:col>0</xdr:col>
      <xdr:colOff>133349</xdr:colOff>
      <xdr:row>38</xdr:row>
      <xdr:rowOff>0</xdr:rowOff>
    </xdr:from>
    <xdr:ext cx="5448301" cy="457200"/>
    <xdr:sp macro="" textlink="">
      <xdr:nvSpPr>
        <xdr:cNvPr id="10" name="Textfeld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33349" y="7696200"/>
          <a:ext cx="5448301" cy="45720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1"/>
            <a:t>Atommassen</a:t>
          </a:r>
          <a:r>
            <a:rPr lang="de-DE" sz="1100" b="1" baseline="0"/>
            <a:t> Wertigkeit </a:t>
          </a:r>
          <a:r>
            <a:rPr lang="de-DE" sz="1100" b="1"/>
            <a:t>: </a:t>
          </a:r>
          <a:r>
            <a:rPr lang="de-DE" sz="1100" b="0"/>
            <a:t>Berechnung der 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Milliäquivalente mg/meq, welche für die IB verwendet werden. </a:t>
          </a:r>
          <a:endParaRPr lang="de-DE" sz="1100" b="0"/>
        </a:p>
      </xdr:txBody>
    </xdr:sp>
    <xdr:clientData/>
  </xdr:oneCellAnchor>
  <xdr:oneCellAnchor>
    <xdr:from>
      <xdr:col>0</xdr:col>
      <xdr:colOff>133349</xdr:colOff>
      <xdr:row>17</xdr:row>
      <xdr:rowOff>66675</xdr:rowOff>
    </xdr:from>
    <xdr:ext cx="5419725" cy="476250"/>
    <xdr:sp macro="" textlink="">
      <xdr:nvSpPr>
        <xdr:cNvPr id="11" name="Textfeld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33349" y="3762375"/>
          <a:ext cx="5419725" cy="476250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0"/>
            <a:t>In den gelb markierten Registerkarten</a:t>
          </a:r>
          <a:r>
            <a:rPr lang="de-DE" sz="1100" b="0" baseline="0"/>
            <a:t> werden die Daten für die Berechnungen eingegeben; ansonsten sind alle Objekte in dieser Excel gesperrt. </a:t>
          </a:r>
          <a:endParaRPr lang="de-DE" sz="1100" b="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310783</xdr:colOff>
      <xdr:row>1</xdr:row>
      <xdr:rowOff>60448</xdr:rowOff>
    </xdr:from>
    <xdr:to>
      <xdr:col>7</xdr:col>
      <xdr:colOff>34803</xdr:colOff>
      <xdr:row>5</xdr:row>
      <xdr:rowOff>122788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7379" y="177679"/>
          <a:ext cx="1072174" cy="1058801"/>
        </a:xfrm>
        <a:prstGeom prst="rect">
          <a:avLst/>
        </a:prstGeom>
      </xdr:spPr>
    </xdr:pic>
    <xdr:clientData/>
  </xdr:twoCellAnchor>
  <xdr:oneCellAnchor>
    <xdr:from>
      <xdr:col>6</xdr:col>
      <xdr:colOff>293688</xdr:colOff>
      <xdr:row>11</xdr:row>
      <xdr:rowOff>95250</xdr:rowOff>
    </xdr:from>
    <xdr:ext cx="184731" cy="264560"/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4929188" y="20875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190501</xdr:colOff>
      <xdr:row>11</xdr:row>
      <xdr:rowOff>63499</xdr:rowOff>
    </xdr:from>
    <xdr:ext cx="1277936" cy="1470146"/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557097" y="2899018"/>
          <a:ext cx="1277936" cy="1470146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de-DE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Masseeinheiten</a:t>
          </a:r>
          <a:r>
            <a:rPr lang="de-DE">
              <a:effectLst/>
            </a:rPr>
            <a:t>  </a:t>
          </a:r>
        </a:p>
        <a:p>
          <a:pPr algn="l"/>
          <a:r>
            <a:rPr lang="de-DE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 kg </a:t>
          </a:r>
          <a:r>
            <a:rPr lang="de-DE">
              <a:effectLst/>
            </a:rPr>
            <a:t> </a:t>
          </a:r>
          <a:r>
            <a:rPr lang="de-DE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= 1000 g</a:t>
          </a:r>
          <a:r>
            <a:rPr lang="de-DE">
              <a:effectLst/>
            </a:rPr>
            <a:t> </a:t>
          </a:r>
        </a:p>
        <a:p>
          <a:pPr algn="l"/>
          <a:r>
            <a:rPr lang="de-DE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 g</a:t>
          </a:r>
          <a:r>
            <a:rPr lang="de-DE">
              <a:effectLst/>
            </a:rPr>
            <a:t> </a:t>
          </a:r>
          <a:r>
            <a:rPr lang="de-DE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= 1000 mg</a:t>
          </a:r>
          <a:r>
            <a:rPr lang="de-DE">
              <a:effectLst/>
            </a:rPr>
            <a:t> </a:t>
          </a:r>
        </a:p>
        <a:p>
          <a:pPr algn="l"/>
          <a:r>
            <a:rPr lang="de-DE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 mg</a:t>
          </a:r>
          <a:r>
            <a:rPr lang="de-DE">
              <a:effectLst/>
            </a:rPr>
            <a:t> </a:t>
          </a:r>
          <a:r>
            <a:rPr lang="de-DE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= 1000 µg </a:t>
          </a:r>
          <a:r>
            <a:rPr lang="de-DE">
              <a:effectLst/>
            </a:rPr>
            <a:t> </a:t>
          </a:r>
        </a:p>
        <a:p>
          <a:pPr algn="l"/>
          <a:r>
            <a:rPr lang="de-DE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de-DE">
              <a:effectLst/>
            </a:rPr>
            <a:t> </a:t>
          </a:r>
          <a:r>
            <a:rPr lang="de-DE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de-DE">
              <a:effectLst/>
            </a:rPr>
            <a:t> </a:t>
          </a:r>
        </a:p>
        <a:p>
          <a:pPr algn="l"/>
          <a:r>
            <a:rPr lang="de-DE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Volumeneinheiten</a:t>
          </a:r>
          <a:r>
            <a:rPr lang="de-DE">
              <a:effectLst/>
            </a:rPr>
            <a:t> </a:t>
          </a:r>
        </a:p>
        <a:p>
          <a:pPr algn="l"/>
          <a:r>
            <a:rPr lang="de-DE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 l</a:t>
          </a:r>
          <a:r>
            <a:rPr lang="de-DE">
              <a:effectLst/>
            </a:rPr>
            <a:t> </a:t>
          </a:r>
          <a:r>
            <a:rPr lang="de-DE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= 1000 ml </a:t>
          </a:r>
          <a:r>
            <a:rPr lang="de-DE">
              <a:effectLst/>
            </a:rPr>
            <a:t> </a:t>
          </a:r>
        </a:p>
        <a:p>
          <a:pPr algn="l"/>
          <a:r>
            <a:rPr lang="de-DE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 ml</a:t>
          </a:r>
          <a:r>
            <a:rPr lang="de-DE">
              <a:effectLst/>
            </a:rPr>
            <a:t> </a:t>
          </a:r>
          <a:r>
            <a:rPr lang="de-DE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= 1000 µl</a:t>
          </a:r>
          <a:r>
            <a:rPr lang="de-DE">
              <a:effectLst/>
            </a:rPr>
            <a:t> </a:t>
          </a:r>
          <a:endParaRPr lang="de-DE" sz="1100"/>
        </a:p>
      </xdr:txBody>
    </xdr:sp>
    <xdr:clientData/>
  </xdr:oneCellAnchor>
  <xdr:twoCellAnchor>
    <xdr:from>
      <xdr:col>7</xdr:col>
      <xdr:colOff>282087</xdr:colOff>
      <xdr:row>1</xdr:row>
      <xdr:rowOff>51289</xdr:rowOff>
    </xdr:from>
    <xdr:to>
      <xdr:col>13</xdr:col>
      <xdr:colOff>298572</xdr:colOff>
      <xdr:row>19</xdr:row>
      <xdr:rowOff>7328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14256</xdr:colOff>
      <xdr:row>18</xdr:row>
      <xdr:rowOff>20319</xdr:rowOff>
    </xdr:from>
    <xdr:ext cx="65" cy="344453"/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3570256" y="4409757"/>
          <a:ext cx="65" cy="3444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br>
            <a:rPr lang="de-DE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endParaRPr lang="de-DE" sz="1100"/>
        </a:p>
      </xdr:txBody>
    </xdr:sp>
    <xdr:clientData/>
  </xdr:oneCellAnchor>
  <xdr:twoCellAnchor>
    <xdr:from>
      <xdr:col>6</xdr:col>
      <xdr:colOff>1</xdr:colOff>
      <xdr:row>15</xdr:row>
      <xdr:rowOff>103186</xdr:rowOff>
    </xdr:from>
    <xdr:to>
      <xdr:col>9</xdr:col>
      <xdr:colOff>39689</xdr:colOff>
      <xdr:row>20</xdr:row>
      <xdr:rowOff>31750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3319097" y="3202474"/>
          <a:ext cx="2604111" cy="91037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DE" sz="10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Ionenbilanzfehler (</a:t>
          </a:r>
          <a:r>
            <a:rPr lang="el-GR" sz="1000" b="1" i="0" u="none" strike="noStrike">
              <a:solidFill>
                <a:schemeClr val="dk1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Δ</a:t>
          </a:r>
          <a:r>
            <a:rPr lang="de-DE" sz="10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IB):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de-DE" sz="10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Zielwert für Tolerierbarkeit: |</a:t>
          </a:r>
          <a:r>
            <a:rPr lang="el-GR" sz="10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Δ</a:t>
          </a:r>
          <a:r>
            <a:rPr lang="de-DE" sz="10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IB</a:t>
          </a:r>
          <a:r>
            <a:rPr lang="de-DE" sz="10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| &lt; 5%</a:t>
          </a:r>
          <a:r>
            <a:rPr lang="de-DE" sz="1000"/>
            <a:t> 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de-DE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|</a:t>
          </a:r>
          <a:r>
            <a:rPr lang="el-GR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Δ</a:t>
          </a:r>
          <a:r>
            <a:rPr lang="de-DE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IB</a:t>
          </a:r>
          <a:r>
            <a:rPr lang="de-DE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| </a:t>
          </a:r>
          <a:r>
            <a:rPr lang="de-DE" sz="10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≥ 5 %</a:t>
          </a:r>
          <a:r>
            <a:rPr lang="de-DE" sz="1000"/>
            <a:t> : </a:t>
          </a:r>
          <a:r>
            <a:rPr lang="de-DE" sz="10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Messergebnisse überprüfen</a:t>
          </a:r>
          <a:r>
            <a:rPr lang="de-DE" sz="1000"/>
            <a:t> 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l-GR" sz="10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Δ</a:t>
          </a:r>
          <a:r>
            <a:rPr lang="de-DE" sz="10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IB positiv:</a:t>
          </a:r>
          <a:r>
            <a:rPr lang="de-DE" sz="1000"/>
            <a:t> IB-</a:t>
          </a:r>
          <a:r>
            <a:rPr lang="de-DE" sz="10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Fehler bei Kationen</a:t>
          </a:r>
          <a:r>
            <a:rPr lang="de-DE" sz="1000"/>
            <a:t> 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l-GR" sz="10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Δ</a:t>
          </a:r>
          <a:r>
            <a:rPr lang="de-DE" sz="10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IB negativ:</a:t>
          </a:r>
          <a:r>
            <a:rPr lang="de-DE" sz="1000"/>
            <a:t> IB-</a:t>
          </a:r>
          <a:r>
            <a:rPr lang="de-DE" sz="10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Fehler bei Anionen</a:t>
          </a:r>
          <a:r>
            <a:rPr lang="de-DE" sz="1000"/>
            <a:t> </a:t>
          </a:r>
        </a:p>
      </xdr:txBody>
    </xdr:sp>
    <xdr:clientData/>
  </xdr:twoCellAnchor>
  <xdr:twoCellAnchor>
    <xdr:from>
      <xdr:col>6</xdr:col>
      <xdr:colOff>7937</xdr:colOff>
      <xdr:row>9</xdr:row>
      <xdr:rowOff>190500</xdr:rowOff>
    </xdr:from>
    <xdr:to>
      <xdr:col>9</xdr:col>
      <xdr:colOff>47624</xdr:colOff>
      <xdr:row>15</xdr:row>
      <xdr:rowOff>7938</xdr:rowOff>
    </xdr:to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3327033" y="1956288"/>
          <a:ext cx="2604110" cy="1150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DE" sz="10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Der </a:t>
          </a:r>
          <a:r>
            <a:rPr lang="de-DE" sz="10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Ionenbilanzfehler </a:t>
          </a:r>
          <a:r>
            <a:rPr lang="el-GR" sz="10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Δ</a:t>
          </a:r>
          <a:r>
            <a:rPr lang="de-DE" sz="10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IB </a:t>
          </a:r>
          <a:r>
            <a:rPr lang="de-DE" sz="10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ergibt sich aus der Differenz der Äquivalenz-Konzentrationen mmol(eq)/l der Kationen und Anionen nach folgender Gleichung:</a:t>
          </a:r>
          <a:endParaRPr lang="de-DE" sz="1000" b="0"/>
        </a:p>
      </xdr:txBody>
    </xdr:sp>
    <xdr:clientData/>
  </xdr:twoCellAnchor>
  <xdr:oneCellAnchor>
    <xdr:from>
      <xdr:col>6</xdr:col>
      <xdr:colOff>55562</xdr:colOff>
      <xdr:row>13</xdr:row>
      <xdr:rowOff>168273</xdr:rowOff>
    </xdr:from>
    <xdr:ext cx="2348548" cy="403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feld 7">
              <a:extLst>
                <a:ext uri="{FF2B5EF4-FFF2-40B4-BE49-F238E27FC236}">
                  <a16:creationId xmlns:a16="http://schemas.microsoft.com/office/drawing/2014/main" id="{00000000-0008-0000-0200-000008000000}"/>
                </a:ext>
              </a:extLst>
            </xdr:cNvPr>
            <xdr:cNvSpPr txBox="1"/>
          </xdr:nvSpPr>
          <xdr:spPr>
            <a:xfrm>
              <a:off x="3278187" y="3454398"/>
              <a:ext cx="2348548" cy="403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l-GR" sz="1000" i="1">
                        <a:latin typeface="Cambria Math" panose="02040503050406030204" pitchFamily="18" charset="0"/>
                      </a:rPr>
                      <m:t>𝛥</m:t>
                    </m:r>
                    <m:r>
                      <a:rPr lang="de-DE" sz="1000" i="1">
                        <a:latin typeface="Cambria Math" panose="02040503050406030204" pitchFamily="18" charset="0"/>
                      </a:rPr>
                      <m:t>𝐼𝐵</m:t>
                    </m:r>
                    <m:r>
                      <a:rPr lang="de-DE" sz="100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de-DE" sz="10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DE" sz="1000" i="1">
                            <a:latin typeface="Cambria Math" panose="02040503050406030204" pitchFamily="18" charset="0"/>
                          </a:rPr>
                          <m:t>∑</m:t>
                        </m:r>
                        <m:r>
                          <a:rPr lang="de-DE" sz="1000" i="1">
                            <a:latin typeface="Cambria Math" panose="02040503050406030204" pitchFamily="18" charset="0"/>
                          </a:rPr>
                          <m:t>𝐾𝑎𝑡𝑖𝑜𝑛𝑒𝑛</m:t>
                        </m:r>
                        <m:r>
                          <a:rPr lang="de-DE" sz="1000" i="1">
                            <a:latin typeface="Cambria Math" panose="02040503050406030204" pitchFamily="18" charset="0"/>
                          </a:rPr>
                          <m:t>−∑</m:t>
                        </m:r>
                        <m:r>
                          <a:rPr lang="de-DE" sz="1000" b="0" i="1">
                            <a:latin typeface="Cambria Math" panose="02040503050406030204" pitchFamily="18" charset="0"/>
                          </a:rPr>
                          <m:t>𝐴𝑛𝑖𝑜𝑛𝑒𝑛</m:t>
                        </m:r>
                      </m:num>
                      <m:den>
                        <m:r>
                          <a:rPr lang="de-DE" sz="1000" i="1">
                            <a:latin typeface="Cambria Math" panose="02040503050406030204" pitchFamily="18" charset="0"/>
                          </a:rPr>
                          <m:t>∑</m:t>
                        </m:r>
                        <m:r>
                          <a:rPr lang="de-DE" sz="1000" i="1">
                            <a:latin typeface="Cambria Math" panose="02040503050406030204" pitchFamily="18" charset="0"/>
                          </a:rPr>
                          <m:t>𝐾𝑎𝑡𝑖𝑜𝑛𝑒𝑛</m:t>
                        </m:r>
                        <m:r>
                          <a:rPr lang="de-DE" sz="10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de-DE" sz="1000" i="1">
                            <a:latin typeface="Cambria Math" panose="02040503050406030204" pitchFamily="18" charset="0"/>
                          </a:rPr>
                          <m:t>∑</m:t>
                        </m:r>
                        <m:r>
                          <a:rPr lang="de-DE" sz="1000" i="1">
                            <a:latin typeface="Cambria Math" panose="02040503050406030204" pitchFamily="18" charset="0"/>
                          </a:rPr>
                          <m:t>𝐴𝑛𝑖𝑜𝑛𝑒𝑛</m:t>
                        </m:r>
                      </m:den>
                    </m:f>
                    <m:r>
                      <a:rPr lang="de-DE" sz="1000" b="0" i="1">
                        <a:latin typeface="Cambria Math" panose="02040503050406030204" pitchFamily="18" charset="0"/>
                      </a:rPr>
                      <m:t>∗100</m:t>
                    </m:r>
                  </m:oMath>
                </m:oMathPara>
              </a14:m>
              <a:endParaRPr lang="de-DE" sz="1000" b="0">
                <a:latin typeface="+mn-lt"/>
              </a:endParaRPr>
            </a:p>
            <a:p>
              <a:endParaRPr lang="de-DE" sz="1100">
                <a:latin typeface="+mn-lt"/>
              </a:endParaRPr>
            </a:p>
          </xdr:txBody>
        </xdr:sp>
      </mc:Choice>
      <mc:Fallback xmlns="">
        <xdr:sp macro="" textlink="">
          <xdr:nvSpPr>
            <xdr:cNvPr id="8" name="Textfeld 7">
              <a:extLst>
                <a:ext uri="{FF2B5EF4-FFF2-40B4-BE49-F238E27FC236}">
                  <a16:creationId xmlns:a16="http://schemas.microsoft.com/office/drawing/2014/main" id="{00000000-0008-0000-0100-000008000000}"/>
                </a:ext>
              </a:extLst>
            </xdr:cNvPr>
            <xdr:cNvSpPr txBox="1"/>
          </xdr:nvSpPr>
          <xdr:spPr>
            <a:xfrm>
              <a:off x="3278187" y="3454398"/>
              <a:ext cx="2348548" cy="403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l-GR" sz="1000" i="0">
                  <a:latin typeface="Cambria Math" panose="02040503050406030204" pitchFamily="18" charset="0"/>
                </a:rPr>
                <a:t>𝛥</a:t>
              </a:r>
              <a:r>
                <a:rPr lang="de-DE" sz="1000" i="0">
                  <a:latin typeface="Cambria Math" panose="02040503050406030204" pitchFamily="18" charset="0"/>
                </a:rPr>
                <a:t>𝐼𝐵=</a:t>
              </a:r>
              <a:r>
                <a:rPr lang="de-DE" sz="1000" b="0" i="0">
                  <a:latin typeface="Cambria Math" panose="02040503050406030204" pitchFamily="18" charset="0"/>
                </a:rPr>
                <a:t>(</a:t>
              </a:r>
              <a:r>
                <a:rPr lang="de-DE" sz="1000" i="0">
                  <a:latin typeface="Cambria Math" panose="02040503050406030204" pitchFamily="18" charset="0"/>
                </a:rPr>
                <a:t>∑𝐾𝑎𝑡𝑖𝑜𝑛𝑒𝑛−∑</a:t>
              </a:r>
              <a:r>
                <a:rPr lang="de-DE" sz="1000" b="0" i="0">
                  <a:latin typeface="Cambria Math" panose="02040503050406030204" pitchFamily="18" charset="0"/>
                </a:rPr>
                <a:t>𝐴𝑛𝑖𝑜𝑛𝑒𝑛)/(</a:t>
              </a:r>
              <a:r>
                <a:rPr lang="de-DE" sz="1000" i="0">
                  <a:latin typeface="Cambria Math" panose="02040503050406030204" pitchFamily="18" charset="0"/>
                </a:rPr>
                <a:t>∑𝐾𝑎𝑡𝑖𝑜𝑛𝑒𝑛</a:t>
              </a:r>
              <a:r>
                <a:rPr lang="de-DE" sz="1000" b="0" i="0">
                  <a:latin typeface="Cambria Math" panose="02040503050406030204" pitchFamily="18" charset="0"/>
                </a:rPr>
                <a:t>+</a:t>
              </a:r>
              <a:r>
                <a:rPr lang="de-DE" sz="1000" i="0">
                  <a:latin typeface="Cambria Math" panose="02040503050406030204" pitchFamily="18" charset="0"/>
                </a:rPr>
                <a:t>∑𝐴𝑛𝑖𝑜𝑛𝑒𝑛</a:t>
              </a:r>
              <a:r>
                <a:rPr lang="de-DE" sz="1000" b="0" i="0">
                  <a:latin typeface="Cambria Math" panose="02040503050406030204" pitchFamily="18" charset="0"/>
                </a:rPr>
                <a:t>)∗100</a:t>
              </a:r>
              <a:endParaRPr lang="de-DE" sz="1000" b="0">
                <a:latin typeface="+mn-lt"/>
              </a:endParaRPr>
            </a:p>
            <a:p>
              <a:endParaRPr lang="de-DE" sz="1100">
                <a:latin typeface="+mn-lt"/>
              </a:endParaRPr>
            </a:p>
          </xdr:txBody>
        </xdr:sp>
      </mc:Fallback>
    </mc:AlternateContent>
    <xdr:clientData/>
  </xdr:oneCellAnchor>
  <xdr:twoCellAnchor>
    <xdr:from>
      <xdr:col>3</xdr:col>
      <xdr:colOff>182564</xdr:colOff>
      <xdr:row>17</xdr:row>
      <xdr:rowOff>178593</xdr:rowOff>
    </xdr:from>
    <xdr:to>
      <xdr:col>6</xdr:col>
      <xdr:colOff>1</xdr:colOff>
      <xdr:row>18</xdr:row>
      <xdr:rowOff>103189</xdr:rowOff>
    </xdr:to>
    <xdr:cxnSp macro="">
      <xdr:nvCxnSpPr>
        <xdr:cNvPr id="3" name="Gerade Verbindung mit Pfeil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>
          <a:stCxn id="5" idx="1"/>
        </xdr:cNvCxnSpPr>
      </xdr:nvCxnSpPr>
      <xdr:spPr>
        <a:xfrm flipH="1">
          <a:off x="1838449" y="3658881"/>
          <a:ext cx="1480648" cy="11509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8</xdr:col>
      <xdr:colOff>194757</xdr:colOff>
      <xdr:row>1</xdr:row>
      <xdr:rowOff>153866</xdr:rowOff>
    </xdr:from>
    <xdr:to>
      <xdr:col>9</xdr:col>
      <xdr:colOff>2005</xdr:colOff>
      <xdr:row>6</xdr:row>
      <xdr:rowOff>43772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7853" y="395654"/>
          <a:ext cx="847671" cy="84240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904875</xdr:colOff>
          <xdr:row>1</xdr:row>
          <xdr:rowOff>47625</xdr:rowOff>
        </xdr:from>
        <xdr:to>
          <xdr:col>9</xdr:col>
          <xdr:colOff>857250</xdr:colOff>
          <xdr:row>1</xdr:row>
          <xdr:rowOff>266700</xdr:rowOff>
        </xdr:to>
        <xdr:sp macro="" textlink="">
          <xdr:nvSpPr>
            <xdr:cNvPr id="3074" name="Check Box 2" descr="Ionenbilanz nach DIN 38402-6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3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Ionenbilanz nach DIN 38402-6</a:t>
              </a:r>
            </a:p>
          </xdr:txBody>
        </xdr:sp>
        <xdr:clientData fLocksWithSheet="0"/>
      </xdr:twoCellAnchor>
    </mc:Choice>
    <mc:Fallback/>
  </mc:AlternateContent>
  <xdr:twoCellAnchor editAs="oneCell">
    <xdr:from>
      <xdr:col>2</xdr:col>
      <xdr:colOff>31751</xdr:colOff>
      <xdr:row>0</xdr:row>
      <xdr:rowOff>52917</xdr:rowOff>
    </xdr:from>
    <xdr:to>
      <xdr:col>2</xdr:col>
      <xdr:colOff>1016001</xdr:colOff>
      <xdr:row>2</xdr:row>
      <xdr:rowOff>554804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584" y="52917"/>
          <a:ext cx="984250" cy="97813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57151</xdr:colOff>
      <xdr:row>3</xdr:row>
      <xdr:rowOff>54552</xdr:rowOff>
    </xdr:from>
    <xdr:to>
      <xdr:col>26</xdr:col>
      <xdr:colOff>415636</xdr:colOff>
      <xdr:row>36</xdr:row>
      <xdr:rowOff>16452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6315076" y="540327"/>
          <a:ext cx="8045160" cy="6400800"/>
        </a:xfrm>
        <a:prstGeom prst="rect">
          <a:avLst/>
        </a:prstGeom>
        <a:solidFill>
          <a:schemeClr val="accent1">
            <a:alpha val="16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 b="1"/>
        </a:p>
      </xdr:txBody>
    </xdr:sp>
    <xdr:clientData/>
  </xdr:twoCellAnchor>
  <xdr:twoCellAnchor>
    <xdr:from>
      <xdr:col>16</xdr:col>
      <xdr:colOff>90486</xdr:colOff>
      <xdr:row>3</xdr:row>
      <xdr:rowOff>128586</xdr:rowOff>
    </xdr:from>
    <xdr:to>
      <xdr:col>26</xdr:col>
      <xdr:colOff>294409</xdr:colOff>
      <xdr:row>35</xdr:row>
      <xdr:rowOff>95250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710045</xdr:colOff>
      <xdr:row>16</xdr:row>
      <xdr:rowOff>164523</xdr:rowOff>
    </xdr:from>
    <xdr:ext cx="866840" cy="264560"/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12789477" y="3238500"/>
          <a:ext cx="86684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e-DE" sz="1100" b="1">
              <a:solidFill>
                <a:schemeClr val="accent6">
                  <a:lumMod val="40000"/>
                  <a:lumOff val="60000"/>
                </a:schemeClr>
              </a:solidFill>
            </a:rPr>
            <a:t>Idealniveau</a:t>
          </a:r>
        </a:p>
      </xdr:txBody>
    </xdr:sp>
    <xdr:clientData/>
  </xdr:oneCellAnchor>
  <xdr:twoCellAnchor editAs="oneCell">
    <xdr:from>
      <xdr:col>25</xdr:col>
      <xdr:colOff>69274</xdr:colOff>
      <xdr:row>4</xdr:row>
      <xdr:rowOff>112567</xdr:rowOff>
    </xdr:from>
    <xdr:to>
      <xdr:col>26</xdr:col>
      <xdr:colOff>190501</xdr:colOff>
      <xdr:row>8</xdr:row>
      <xdr:rowOff>37809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70479" y="744681"/>
          <a:ext cx="883227" cy="87774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398318</xdr:colOff>
      <xdr:row>0</xdr:row>
      <xdr:rowOff>112568</xdr:rowOff>
    </xdr:from>
    <xdr:to>
      <xdr:col>13</xdr:col>
      <xdr:colOff>479857</xdr:colOff>
      <xdr:row>2</xdr:row>
      <xdr:rowOff>16976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4227" y="112568"/>
          <a:ext cx="635721" cy="631772"/>
        </a:xfrm>
        <a:prstGeom prst="rect">
          <a:avLst/>
        </a:prstGeom>
      </xdr:spPr>
    </xdr:pic>
    <xdr:clientData/>
  </xdr:twoCellAnchor>
  <xdr:twoCellAnchor>
    <xdr:from>
      <xdr:col>14</xdr:col>
      <xdr:colOff>60613</xdr:colOff>
      <xdr:row>5</xdr:row>
      <xdr:rowOff>77932</xdr:rowOff>
    </xdr:from>
    <xdr:to>
      <xdr:col>14</xdr:col>
      <xdr:colOff>917864</xdr:colOff>
      <xdr:row>12</xdr:row>
      <xdr:rowOff>103909</xdr:rowOff>
    </xdr:to>
    <xdr:sp macro="" textlink="">
      <xdr:nvSpPr>
        <xdr:cNvPr id="5" name="Pfeil: nach rechts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9646227" y="1411432"/>
          <a:ext cx="857251" cy="2138795"/>
        </a:xfrm>
        <a:prstGeom prst="rightArrow">
          <a:avLst/>
        </a:prstGeom>
        <a:solidFill>
          <a:srgbClr val="92D050"/>
        </a:solidFill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66675</xdr:rowOff>
    </xdr:from>
    <xdr:to>
      <xdr:col>18</xdr:col>
      <xdr:colOff>19051</xdr:colOff>
      <xdr:row>19</xdr:row>
      <xdr:rowOff>190499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95250</xdr:colOff>
      <xdr:row>0</xdr:row>
      <xdr:rowOff>219075</xdr:rowOff>
    </xdr:from>
    <xdr:to>
      <xdr:col>17</xdr:col>
      <xdr:colOff>371475</xdr:colOff>
      <xdr:row>3</xdr:row>
      <xdr:rowOff>33545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48550" y="219075"/>
          <a:ext cx="733425" cy="728870"/>
        </a:xfrm>
        <a:prstGeom prst="rect">
          <a:avLst/>
        </a:prstGeom>
      </xdr:spPr>
    </xdr:pic>
    <xdr:clientData/>
  </xdr:twoCellAnchor>
  <xdr:oneCellAnchor>
    <xdr:from>
      <xdr:col>16</xdr:col>
      <xdr:colOff>283152</xdr:colOff>
      <xdr:row>11</xdr:row>
      <xdr:rowOff>122959</xdr:rowOff>
    </xdr:from>
    <xdr:ext cx="65" cy="172227"/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7634720" y="28592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18</xdr:col>
      <xdr:colOff>376670</xdr:colOff>
      <xdr:row>2</xdr:row>
      <xdr:rowOff>148937</xdr:rowOff>
    </xdr:from>
    <xdr:ext cx="2907334" cy="82452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feld 4">
              <a:extLst>
                <a:ext uri="{FF2B5EF4-FFF2-40B4-BE49-F238E27FC236}">
                  <a16:creationId xmlns:a16="http://schemas.microsoft.com/office/drawing/2014/main" id="{00000000-0008-0000-0600-000005000000}"/>
                </a:ext>
              </a:extLst>
            </xdr:cNvPr>
            <xdr:cNvSpPr txBox="1"/>
          </xdr:nvSpPr>
          <xdr:spPr>
            <a:xfrm>
              <a:off x="8689397" y="642505"/>
              <a:ext cx="2907334" cy="82452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d>
                      <m:dPr>
                        <m:begChr m:val="{"/>
                        <m:endChr m:val="}"/>
                        <m:ctrlPr>
                          <a:rPr lang="de-DE" sz="18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de-DE" sz="1800" b="0" i="1">
                            <a:latin typeface="Cambria Math" panose="02040503050406030204" pitchFamily="18" charset="0"/>
                          </a:rPr>
                          <m:t>𝑁</m:t>
                        </m:r>
                        <m:sSub>
                          <m:sSubPr>
                            <m:ctrlPr>
                              <a:rPr lang="de-DE" sz="18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1800" b="0" i="1">
                                <a:latin typeface="Cambria Math" panose="02040503050406030204" pitchFamily="18" charset="0"/>
                              </a:rPr>
                              <m:t>𝐻</m:t>
                            </m:r>
                          </m:e>
                          <m:sub>
                            <m:r>
                              <a:rPr lang="de-DE" sz="1800" b="0" i="1">
                                <a:latin typeface="Cambria Math" panose="02040503050406030204" pitchFamily="18" charset="0"/>
                              </a:rPr>
                              <m:t>3</m:t>
                            </m:r>
                          </m:sub>
                        </m:sSub>
                      </m:e>
                    </m:d>
                    <m:r>
                      <a:rPr lang="de-DE" sz="18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de-DE" sz="18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DE" sz="1800" b="0" i="1">
                            <a:latin typeface="Cambria Math" panose="02040503050406030204" pitchFamily="18" charset="0"/>
                          </a:rPr>
                          <m:t>0,94412∗</m:t>
                        </m:r>
                        <m:sSub>
                          <m:sSubPr>
                            <m:ctrlPr>
                              <a:rPr lang="de-DE" sz="18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d>
                              <m:dPr>
                                <m:begChr m:val="{"/>
                                <m:endChr m:val="}"/>
                                <m:ctrlPr>
                                  <a:rPr lang="de-DE" sz="1800" b="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de-DE" sz="1800" b="0" i="1">
                                    <a:latin typeface="Cambria Math" panose="02040503050406030204" pitchFamily="18" charset="0"/>
                                  </a:rPr>
                                  <m:t>𝑁</m:t>
                                </m:r>
                                <m:sSub>
                                  <m:sSubPr>
                                    <m:ctrlPr>
                                      <a:rPr lang="de-DE" sz="18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sSubPr>
                                  <m:e>
                                    <m:r>
                                      <a:rPr lang="de-DE" sz="1800" b="0" i="1">
                                        <a:latin typeface="Cambria Math" panose="02040503050406030204" pitchFamily="18" charset="0"/>
                                      </a:rPr>
                                      <m:t>𝐻</m:t>
                                    </m:r>
                                  </m:e>
                                  <m:sub>
                                    <m:r>
                                      <a:rPr lang="de-DE" sz="1800" b="0" i="1">
                                        <a:latin typeface="Cambria Math" panose="02040503050406030204" pitchFamily="18" charset="0"/>
                                      </a:rPr>
                                      <m:t>4</m:t>
                                    </m:r>
                                  </m:sub>
                                </m:sSub>
                              </m:e>
                            </m:d>
                          </m:e>
                          <m:sub>
                            <m:r>
                              <a:rPr lang="de-DE" sz="1800" b="0" i="1">
                                <a:latin typeface="Cambria Math" panose="02040503050406030204" pitchFamily="18" charset="0"/>
                              </a:rPr>
                              <m:t>𝐺𝑒𝑠</m:t>
                            </m:r>
                          </m:sub>
                        </m:sSub>
                      </m:num>
                      <m:den>
                        <m:r>
                          <a:rPr lang="de-DE" sz="1800" b="0" i="1">
                            <a:latin typeface="Cambria Math" panose="02040503050406030204" pitchFamily="18" charset="0"/>
                          </a:rPr>
                          <m:t>1+</m:t>
                        </m:r>
                        <m:sSup>
                          <m:sSupPr>
                            <m:ctrlPr>
                              <a:rPr lang="de-DE" sz="1800" b="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de-DE" sz="1800" b="0" i="1">
                                <a:latin typeface="Cambria Math" panose="02040503050406030204" pitchFamily="18" charset="0"/>
                              </a:rPr>
                              <m:t>10</m:t>
                            </m:r>
                          </m:e>
                          <m:sup>
                            <m:r>
                              <a:rPr lang="de-DE" sz="1800" b="0" i="1">
                                <a:latin typeface="Cambria Math" panose="02040503050406030204" pitchFamily="18" charset="0"/>
                              </a:rPr>
                              <m:t>𝑝</m:t>
                            </m:r>
                            <m:sSub>
                              <m:sSubPr>
                                <m:ctrlPr>
                                  <a:rPr lang="de-DE" sz="18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de-DE" sz="1800" b="0" i="1">
                                    <a:latin typeface="Cambria Math" panose="02040503050406030204" pitchFamily="18" charset="0"/>
                                  </a:rPr>
                                  <m:t>𝐾</m:t>
                                </m:r>
                              </m:e>
                              <m:sub>
                                <m:r>
                                  <a:rPr lang="de-DE" sz="1800" b="0" i="1">
                                    <a:latin typeface="Cambria Math" panose="02040503050406030204" pitchFamily="18" charset="0"/>
                                  </a:rPr>
                                  <m:t>𝑎</m:t>
                                </m:r>
                              </m:sub>
                            </m:sSub>
                            <m:r>
                              <a:rPr lang="de-DE" sz="1800" b="0" i="1">
                                <a:latin typeface="Cambria Math" panose="02040503050406030204" pitchFamily="18" charset="0"/>
                              </a:rPr>
                              <m:t>−</m:t>
                            </m:r>
                            <m:r>
                              <a:rPr lang="de-DE" sz="1800" b="0" i="1">
                                <a:latin typeface="Cambria Math" panose="02040503050406030204" pitchFamily="18" charset="0"/>
                              </a:rPr>
                              <m:t>𝑝𝐻</m:t>
                            </m:r>
                          </m:sup>
                        </m:sSup>
                      </m:den>
                    </m:f>
                  </m:oMath>
                </m:oMathPara>
              </a14:m>
              <a:endParaRPr lang="de-DE" sz="1800" b="0"/>
            </a:p>
            <a:p>
              <a:endParaRPr lang="de-DE" sz="1800"/>
            </a:p>
          </xdr:txBody>
        </xdr:sp>
      </mc:Choice>
      <mc:Fallback xmlns="">
        <xdr:sp macro="" textlink="">
          <xdr:nvSpPr>
            <xdr:cNvPr id="5" name="Textfeld 4">
              <a:extLst>
                <a:ext uri="{FF2B5EF4-FFF2-40B4-BE49-F238E27FC236}">
                  <a16:creationId xmlns:a16="http://schemas.microsoft.com/office/drawing/2014/main" id="{039490CE-F12C-4E27-98DA-89641393C889}"/>
                </a:ext>
              </a:extLst>
            </xdr:cNvPr>
            <xdr:cNvSpPr txBox="1"/>
          </xdr:nvSpPr>
          <xdr:spPr>
            <a:xfrm>
              <a:off x="8689397" y="642505"/>
              <a:ext cx="2907334" cy="82452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DE" sz="1800" b="0" i="0">
                  <a:latin typeface="Cambria Math" panose="02040503050406030204" pitchFamily="18" charset="0"/>
                </a:rPr>
                <a:t>{𝑁𝐻_3 }=(0,94412∗{𝑁𝐻_4 }_𝐺𝑒𝑠)/(1+10^(𝑝𝐾_𝑎−𝑝𝐻) )</a:t>
              </a:r>
              <a:endParaRPr lang="de-DE" sz="1800" b="0"/>
            </a:p>
            <a:p>
              <a:endParaRPr lang="de-DE" sz="1800"/>
            </a:p>
          </xdr:txBody>
        </xdr:sp>
      </mc:Fallback>
    </mc:AlternateContent>
    <xdr:clientData/>
  </xdr:oneCellAnchor>
  <xdr:oneCellAnchor>
    <xdr:from>
      <xdr:col>18</xdr:col>
      <xdr:colOff>525606</xdr:colOff>
      <xdr:row>6</xdr:row>
      <xdr:rowOff>6061</xdr:rowOff>
    </xdr:from>
    <xdr:ext cx="4010329" cy="21916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feld 6">
              <a:extLst>
                <a:ext uri="{FF2B5EF4-FFF2-40B4-BE49-F238E27FC236}">
                  <a16:creationId xmlns:a16="http://schemas.microsoft.com/office/drawing/2014/main" id="{00000000-0008-0000-0600-000007000000}"/>
                </a:ext>
              </a:extLst>
            </xdr:cNvPr>
            <xdr:cNvSpPr txBox="1"/>
          </xdr:nvSpPr>
          <xdr:spPr>
            <a:xfrm>
              <a:off x="8838333" y="1495425"/>
              <a:ext cx="4010329" cy="2191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400" i="1">
                        <a:latin typeface="Cambria Math" panose="02040503050406030204" pitchFamily="18" charset="0"/>
                      </a:rPr>
                      <m:t>𝑝</m:t>
                    </m:r>
                    <m:sSub>
                      <m:sSubPr>
                        <m:ctrlPr>
                          <a:rPr lang="de-DE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400" i="1">
                            <a:latin typeface="Cambria Math" panose="02040503050406030204" pitchFamily="18" charset="0"/>
                          </a:rPr>
                          <m:t>𝐾</m:t>
                        </m:r>
                      </m:e>
                      <m:sub>
                        <m:r>
                          <a:rPr lang="de-DE" sz="1400" i="1">
                            <a:latin typeface="Cambria Math" panose="02040503050406030204" pitchFamily="18" charset="0"/>
                          </a:rPr>
                          <m:t>𝑎</m:t>
                        </m:r>
                      </m:sub>
                    </m:sSub>
                    <m:r>
                      <a:rPr lang="de-DE" sz="1400" i="1">
                        <a:latin typeface="Cambria Math" panose="02040503050406030204" pitchFamily="18" charset="0"/>
                      </a:rPr>
                      <m:t>=10</m:t>
                    </m:r>
                    <m:r>
                      <a:rPr lang="de-DE" sz="1400" b="0" i="1">
                        <a:latin typeface="Cambria Math" panose="02040503050406030204" pitchFamily="18" charset="0"/>
                      </a:rPr>
                      <m:t>,</m:t>
                    </m:r>
                    <m:r>
                      <a:rPr lang="de-DE" sz="1400" i="1">
                        <a:latin typeface="Cambria Math" panose="02040503050406030204" pitchFamily="18" charset="0"/>
                      </a:rPr>
                      <m:t>0423−</m:t>
                    </m:r>
                    <m:d>
                      <m:dPr>
                        <m:ctrlPr>
                          <a:rPr lang="de-DE" sz="140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de-DE" sz="1400" i="1">
                            <a:latin typeface="Cambria Math" panose="02040503050406030204" pitchFamily="18" charset="0"/>
                          </a:rPr>
                          <m:t>0</m:t>
                        </m:r>
                        <m:r>
                          <a:rPr lang="de-DE" sz="1400" b="0" i="1">
                            <a:latin typeface="Cambria Math" panose="02040503050406030204" pitchFamily="18" charset="0"/>
                          </a:rPr>
                          <m:t>,</m:t>
                        </m:r>
                        <m:r>
                          <a:rPr lang="de-DE" sz="1400" i="1">
                            <a:latin typeface="Cambria Math" panose="02040503050406030204" pitchFamily="18" charset="0"/>
                          </a:rPr>
                          <m:t>0315536</m:t>
                        </m:r>
                        <m:r>
                          <a:rPr lang="de-DE" sz="1400" b="0" i="1">
                            <a:latin typeface="Cambria Math" panose="02040503050406030204" pitchFamily="18" charset="0"/>
                          </a:rPr>
                          <m:t>∗</m:t>
                        </m:r>
                        <m:r>
                          <a:rPr lang="de-DE" sz="1400" i="1">
                            <a:latin typeface="Cambria Math" panose="02040503050406030204" pitchFamily="18" charset="0"/>
                          </a:rPr>
                          <m:t>𝑡</m:t>
                        </m:r>
                      </m:e>
                    </m:d>
                    <m:r>
                      <a:rPr lang="de-DE" sz="1400" i="1">
                        <a:latin typeface="Cambria Math" panose="02040503050406030204" pitchFamily="18" charset="0"/>
                      </a:rPr>
                      <m:t>+</m:t>
                    </m:r>
                    <m:d>
                      <m:dPr>
                        <m:ctrlPr>
                          <a:rPr lang="de-DE" sz="140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de-DE" sz="1400" i="1">
                            <a:latin typeface="Cambria Math" panose="02040503050406030204" pitchFamily="18" charset="0"/>
                          </a:rPr>
                          <m:t>0</m:t>
                        </m:r>
                        <m:r>
                          <a:rPr lang="de-DE" sz="1400" b="0" i="1">
                            <a:latin typeface="Cambria Math" panose="02040503050406030204" pitchFamily="18" charset="0"/>
                          </a:rPr>
                          <m:t>,</m:t>
                        </m:r>
                        <m:r>
                          <a:rPr lang="de-DE" sz="1400" i="1">
                            <a:latin typeface="Cambria Math" panose="02040503050406030204" pitchFamily="18" charset="0"/>
                          </a:rPr>
                          <m:t>003071</m:t>
                        </m:r>
                        <m:r>
                          <a:rPr lang="de-DE" sz="1400" b="0" i="1">
                            <a:latin typeface="Cambria Math" panose="02040503050406030204" pitchFamily="18" charset="0"/>
                          </a:rPr>
                          <m:t>∗</m:t>
                        </m:r>
                        <m:r>
                          <a:rPr lang="de-DE" sz="1400" i="1">
                            <a:latin typeface="Cambria Math" panose="02040503050406030204" pitchFamily="18" charset="0"/>
                          </a:rPr>
                          <m:t>𝑆</m:t>
                        </m:r>
                      </m:e>
                    </m:d>
                  </m:oMath>
                </m:oMathPara>
              </a14:m>
              <a:endParaRPr lang="de-DE" sz="1400"/>
            </a:p>
          </xdr:txBody>
        </xdr:sp>
      </mc:Choice>
      <mc:Fallback xmlns="">
        <xdr:sp macro="" textlink="">
          <xdr:nvSpPr>
            <xdr:cNvPr id="7" name="Textfeld 6">
              <a:extLst>
                <a:ext uri="{FF2B5EF4-FFF2-40B4-BE49-F238E27FC236}">
                  <a16:creationId xmlns:a16="http://schemas.microsoft.com/office/drawing/2014/main" id="{ABBF3CF9-D972-4E39-BD55-30F7D2D2EA2C}"/>
                </a:ext>
              </a:extLst>
            </xdr:cNvPr>
            <xdr:cNvSpPr txBox="1"/>
          </xdr:nvSpPr>
          <xdr:spPr>
            <a:xfrm>
              <a:off x="8838333" y="1495425"/>
              <a:ext cx="4010329" cy="2191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de-DE" sz="1400" i="0">
                  <a:latin typeface="Cambria Math" panose="02040503050406030204" pitchFamily="18" charset="0"/>
                </a:rPr>
                <a:t>𝑝𝐾</a:t>
              </a:r>
              <a:r>
                <a:rPr lang="de-DE" sz="1400" b="0" i="0">
                  <a:latin typeface="Cambria Math" panose="02040503050406030204" pitchFamily="18" charset="0"/>
                </a:rPr>
                <a:t>_</a:t>
              </a:r>
              <a:r>
                <a:rPr lang="de-DE" sz="1400" i="0">
                  <a:latin typeface="Cambria Math" panose="02040503050406030204" pitchFamily="18" charset="0"/>
                </a:rPr>
                <a:t>𝑎=10</a:t>
              </a:r>
              <a:r>
                <a:rPr lang="de-DE" sz="1400" b="0" i="0">
                  <a:latin typeface="Cambria Math" panose="02040503050406030204" pitchFamily="18" charset="0"/>
                </a:rPr>
                <a:t>,</a:t>
              </a:r>
              <a:r>
                <a:rPr lang="de-DE" sz="1400" i="0">
                  <a:latin typeface="Cambria Math" panose="02040503050406030204" pitchFamily="18" charset="0"/>
                </a:rPr>
                <a:t>0423−(0</a:t>
              </a:r>
              <a:r>
                <a:rPr lang="de-DE" sz="1400" b="0" i="0">
                  <a:latin typeface="Cambria Math" panose="02040503050406030204" pitchFamily="18" charset="0"/>
                </a:rPr>
                <a:t>,</a:t>
              </a:r>
              <a:r>
                <a:rPr lang="de-DE" sz="1400" i="0">
                  <a:latin typeface="Cambria Math" panose="02040503050406030204" pitchFamily="18" charset="0"/>
                </a:rPr>
                <a:t>0315536</a:t>
              </a:r>
              <a:r>
                <a:rPr lang="de-DE" sz="1400" b="0" i="0">
                  <a:latin typeface="Cambria Math" panose="02040503050406030204" pitchFamily="18" charset="0"/>
                </a:rPr>
                <a:t>∗</a:t>
              </a:r>
              <a:r>
                <a:rPr lang="de-DE" sz="1400" i="0">
                  <a:latin typeface="Cambria Math" panose="02040503050406030204" pitchFamily="18" charset="0"/>
                </a:rPr>
                <a:t>𝑡)+(0</a:t>
              </a:r>
              <a:r>
                <a:rPr lang="de-DE" sz="1400" b="0" i="0">
                  <a:latin typeface="Cambria Math" panose="02040503050406030204" pitchFamily="18" charset="0"/>
                </a:rPr>
                <a:t>,</a:t>
              </a:r>
              <a:r>
                <a:rPr lang="de-DE" sz="1400" i="0">
                  <a:latin typeface="Cambria Math" panose="02040503050406030204" pitchFamily="18" charset="0"/>
                </a:rPr>
                <a:t>003071</a:t>
              </a:r>
              <a:r>
                <a:rPr lang="de-DE" sz="1400" b="0" i="0">
                  <a:latin typeface="Cambria Math" panose="02040503050406030204" pitchFamily="18" charset="0"/>
                </a:rPr>
                <a:t>∗</a:t>
              </a:r>
              <a:r>
                <a:rPr lang="de-DE" sz="1400" i="0">
                  <a:latin typeface="Cambria Math" panose="02040503050406030204" pitchFamily="18" charset="0"/>
                </a:rPr>
                <a:t>𝑆)</a:t>
              </a:r>
              <a:endParaRPr lang="de-DE" sz="1400"/>
            </a:p>
          </xdr:txBody>
        </xdr:sp>
      </mc:Fallback>
    </mc:AlternateContent>
    <xdr:clientData/>
  </xdr:oneCellAnchor>
  <xdr:twoCellAnchor>
    <xdr:from>
      <xdr:col>24</xdr:col>
      <xdr:colOff>476250</xdr:colOff>
      <xdr:row>2</xdr:row>
      <xdr:rowOff>95250</xdr:rowOff>
    </xdr:from>
    <xdr:to>
      <xdr:col>27</xdr:col>
      <xdr:colOff>69273</xdr:colOff>
      <xdr:row>8</xdr:row>
      <xdr:rowOff>69273</xdr:rowOff>
    </xdr:to>
    <xdr:sp macro="" textlink="">
      <xdr:nvSpPr>
        <xdr:cNvPr id="8" name="Sprechblase: rechteckig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12858750" y="588818"/>
          <a:ext cx="1879023" cy="1645228"/>
        </a:xfrm>
        <a:prstGeom prst="wedgeRectCallout">
          <a:avLst>
            <a:gd name="adj1" fmla="val -71524"/>
            <a:gd name="adj2" fmla="val -2976"/>
          </a:avLst>
        </a:prstGeom>
        <a:solidFill>
          <a:schemeClr val="tx1">
            <a:lumMod val="50000"/>
            <a:lumOff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Ammonia/ammonium dissociation coefficient in seawater:A significant numerical correction </a:t>
          </a:r>
          <a:br>
            <a:rPr lang="de-DE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</a:br>
          <a:r>
            <a:rPr lang="de-DE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Thomas G. Bell,Martin T. Johnson,Timothy D. Jickells and Peter S. Liss Environ. Chem.2007,4, pp. 183–186. doi:10.1071/EN07032</a:t>
          </a:r>
          <a:r>
            <a:rPr lang="de-DE" sz="1100"/>
            <a:t> </a:t>
          </a:r>
          <a:endParaRPr lang="de-DE" sz="20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69273</xdr:colOff>
      <xdr:row>8</xdr:row>
      <xdr:rowOff>0</xdr:rowOff>
    </xdr:from>
    <xdr:ext cx="1895017" cy="37840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feld 1">
              <a:extLst>
                <a:ext uri="{FF2B5EF4-FFF2-40B4-BE49-F238E27FC236}">
                  <a16:creationId xmlns:a16="http://schemas.microsoft.com/office/drawing/2014/main" id="{00000000-0008-0000-0800-000002000000}"/>
                </a:ext>
              </a:extLst>
            </xdr:cNvPr>
            <xdr:cNvSpPr txBox="1"/>
          </xdr:nvSpPr>
          <xdr:spPr>
            <a:xfrm>
              <a:off x="5308023" y="1255568"/>
              <a:ext cx="1895017" cy="378402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ctr">
              <a:noAutofit/>
            </a:bodyPr>
            <a:lstStyle/>
            <a:p>
              <a:pPr algn="l"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de-DE" sz="1200" b="0" i="0">
                        <a:latin typeface="Cambria Math" panose="02040503050406030204" pitchFamily="18" charset="0"/>
                      </a:rPr>
                      <m:t>Umrechnungsfaktor</m:t>
                    </m:r>
                    <m:r>
                      <a:rPr lang="de-DE" sz="1200" b="0" i="0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sty m:val="p"/>
                          </m:rPr>
                          <a:rPr lang="de-DE" sz="1200" b="0" i="0">
                            <a:latin typeface="Cambria Math" panose="02040503050406030204" pitchFamily="18" charset="0"/>
                          </a:rPr>
                          <m:t>M</m:t>
                        </m:r>
                      </m:num>
                      <m:den>
                        <m:r>
                          <m:rPr>
                            <m:sty m:val="p"/>
                          </m:rPr>
                          <a:rPr lang="de-DE" sz="1200" b="0" i="0">
                            <a:latin typeface="Cambria Math" panose="02040503050406030204" pitchFamily="18" charset="0"/>
                          </a:rPr>
                          <m:t>z</m:t>
                        </m:r>
                      </m:den>
                    </m:f>
                  </m:oMath>
                </m:oMathPara>
              </a14:m>
              <a:endParaRPr lang="de-DE" sz="1400" b="0" i="0">
                <a:latin typeface="+mn-lt"/>
              </a:endParaRPr>
            </a:p>
            <a:p>
              <a:pPr algn="l"/>
              <a:endParaRPr lang="de-DE" sz="1100">
                <a:latin typeface="+mn-lt"/>
              </a:endParaRPr>
            </a:p>
          </xdr:txBody>
        </xdr:sp>
      </mc:Choice>
      <mc:Fallback xmlns="">
        <xdr:sp macro="" textlink="">
          <xdr:nvSpPr>
            <xdr:cNvPr id="2" name="Textfeld 1">
              <a:extLst>
                <a:ext uri="{FF2B5EF4-FFF2-40B4-BE49-F238E27FC236}">
                  <a16:creationId xmlns:a16="http://schemas.microsoft.com/office/drawing/2014/main" id="{E9B5F44D-B23E-426E-8432-3B524C4C101E}"/>
                </a:ext>
              </a:extLst>
            </xdr:cNvPr>
            <xdr:cNvSpPr txBox="1"/>
          </xdr:nvSpPr>
          <xdr:spPr>
            <a:xfrm>
              <a:off x="5308023" y="1255568"/>
              <a:ext cx="1895017" cy="378402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ctr">
              <a:noAutofit/>
            </a:bodyPr>
            <a:lstStyle/>
            <a:p>
              <a:pPr algn="l"/>
              <a:r>
                <a:rPr lang="de-DE" sz="1200" b="0" i="0">
                  <a:latin typeface="Cambria Math" panose="02040503050406030204" pitchFamily="18" charset="0"/>
                </a:rPr>
                <a:t>Umrechnungsfaktor=M/z</a:t>
              </a:r>
              <a:endParaRPr lang="de-DE" sz="1400" b="0" i="0">
                <a:latin typeface="+mn-lt"/>
              </a:endParaRPr>
            </a:p>
            <a:p>
              <a:pPr algn="l"/>
              <a:endParaRPr lang="de-DE" sz="1100">
                <a:latin typeface="+mn-lt"/>
              </a:endParaRPr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de.webqc.org/molecular-weight-of-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DAA16-DBB1-43ED-90A0-1E2C28A1CB22}">
  <sheetPr>
    <tabColor theme="0"/>
  </sheetPr>
  <dimension ref="B1:C17"/>
  <sheetViews>
    <sheetView showGridLines="0" tabSelected="1" workbookViewId="0">
      <selection activeCell="A44" sqref="A44"/>
    </sheetView>
  </sheetViews>
  <sheetFormatPr baseColWidth="10" defaultRowHeight="15" x14ac:dyDescent="0.25"/>
  <cols>
    <col min="1" max="1" width="3.140625" customWidth="1"/>
  </cols>
  <sheetData>
    <row r="1" spans="2:3" ht="51.75" x14ac:dyDescent="0.6">
      <c r="B1" s="293" t="s">
        <v>220</v>
      </c>
    </row>
    <row r="2" spans="2:3" ht="12.75" customHeight="1" x14ac:dyDescent="0.55000000000000004">
      <c r="B2" s="290"/>
    </row>
    <row r="3" spans="2:3" ht="15.75" x14ac:dyDescent="0.25">
      <c r="B3" s="289" t="s">
        <v>219</v>
      </c>
    </row>
    <row r="4" spans="2:3" ht="15.75" x14ac:dyDescent="0.25">
      <c r="B4" s="292"/>
    </row>
    <row r="5" spans="2:3" x14ac:dyDescent="0.25">
      <c r="B5" t="s">
        <v>218</v>
      </c>
      <c r="C5" s="150" t="s">
        <v>216</v>
      </c>
    </row>
    <row r="6" spans="2:3" x14ac:dyDescent="0.25">
      <c r="B6" t="s">
        <v>217</v>
      </c>
      <c r="C6" s="291">
        <v>45142</v>
      </c>
    </row>
    <row r="17" spans="2:2" x14ac:dyDescent="0.25">
      <c r="B17" s="2" t="s">
        <v>221</v>
      </c>
    </row>
  </sheetData>
  <sheetProtection algorithmName="SHA-512" hashValue="RycoQJNP03+wq3qMosvzq+p018t3yzLJiyl3WtIU9wVAI6C+ZUitqppEh1Rbk9knXAr99ndL6TJEIo+isC7GUw==" saltValue="I2F/hgIt8y8fEgTXomORfg==" spinCount="100000" sheet="1" objects="1" scenarios="1" selectLockedCells="1" selectUnlockedCells="1"/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08793-6C31-41B6-995F-7AA9DF3D1992}">
  <sheetPr codeName="Tabelle2">
    <tabColor rgb="FFFFFF00"/>
  </sheetPr>
  <dimension ref="B1:F21"/>
  <sheetViews>
    <sheetView showGridLines="0" zoomScale="130" zoomScaleNormal="130" workbookViewId="0">
      <selection activeCell="D19" sqref="D19"/>
    </sheetView>
  </sheetViews>
  <sheetFormatPr baseColWidth="10" defaultRowHeight="15" x14ac:dyDescent="0.25"/>
  <cols>
    <col min="1" max="1" width="1.7109375" customWidth="1"/>
    <col min="4" max="4" width="10.85546875" bestFit="1" customWidth="1"/>
    <col min="5" max="5" width="7.7109375" customWidth="1"/>
    <col min="6" max="6" width="6.42578125" customWidth="1"/>
    <col min="7" max="7" width="6" customWidth="1"/>
    <col min="8" max="8" width="12.7109375" customWidth="1"/>
  </cols>
  <sheetData>
    <row r="1" spans="2:6" ht="9" customHeight="1" x14ac:dyDescent="0.25"/>
    <row r="2" spans="2:6" ht="21" x14ac:dyDescent="0.25">
      <c r="B2" s="267" t="s">
        <v>112</v>
      </c>
    </row>
    <row r="3" spans="2:6" x14ac:dyDescent="0.25">
      <c r="B3" s="268"/>
      <c r="C3" s="269"/>
    </row>
    <row r="4" spans="2:6" ht="27.75" customHeight="1" x14ac:dyDescent="0.25">
      <c r="B4" s="294" t="s">
        <v>170</v>
      </c>
      <c r="C4" s="295"/>
      <c r="D4" s="168">
        <v>700</v>
      </c>
    </row>
    <row r="5" spans="2:6" x14ac:dyDescent="0.25">
      <c r="B5" s="268"/>
      <c r="C5" s="269"/>
    </row>
    <row r="6" spans="2:6" x14ac:dyDescent="0.25">
      <c r="B6" t="s">
        <v>108</v>
      </c>
      <c r="D6" s="97">
        <v>34.5</v>
      </c>
    </row>
    <row r="7" spans="2:6" x14ac:dyDescent="0.25">
      <c r="B7" t="s">
        <v>71</v>
      </c>
      <c r="C7" s="4"/>
      <c r="D7" s="97">
        <v>6.5</v>
      </c>
    </row>
    <row r="8" spans="2:6" ht="15.75" thickBot="1" x14ac:dyDescent="0.3">
      <c r="F8" s="150"/>
    </row>
    <row r="9" spans="2:6" ht="45" x14ac:dyDescent="0.25">
      <c r="B9" s="270" t="s">
        <v>215</v>
      </c>
      <c r="C9" s="271" t="s">
        <v>51</v>
      </c>
      <c r="D9" s="272" t="s">
        <v>111</v>
      </c>
    </row>
    <row r="10" spans="2:6" x14ac:dyDescent="0.25">
      <c r="B10" s="273" t="s">
        <v>17</v>
      </c>
      <c r="C10" s="274" t="s">
        <v>0</v>
      </c>
      <c r="D10" s="99">
        <v>10878</v>
      </c>
    </row>
    <row r="11" spans="2:6" x14ac:dyDescent="0.25">
      <c r="B11" s="273" t="s">
        <v>32</v>
      </c>
      <c r="C11" s="274" t="s">
        <v>8</v>
      </c>
      <c r="D11" s="99">
        <v>19596</v>
      </c>
    </row>
    <row r="12" spans="2:6" x14ac:dyDescent="0.25">
      <c r="B12" s="273" t="s">
        <v>20</v>
      </c>
      <c r="C12" s="274" t="s">
        <v>2</v>
      </c>
      <c r="D12" s="99">
        <v>1375</v>
      </c>
    </row>
    <row r="13" spans="2:6" x14ac:dyDescent="0.25">
      <c r="B13" s="273" t="s">
        <v>109</v>
      </c>
      <c r="C13" s="274" t="s">
        <v>110</v>
      </c>
      <c r="D13" s="99">
        <v>921</v>
      </c>
    </row>
    <row r="14" spans="2:6" x14ac:dyDescent="0.25">
      <c r="B14" s="273" t="s">
        <v>19</v>
      </c>
      <c r="C14" s="274" t="s">
        <v>1</v>
      </c>
      <c r="D14" s="99">
        <v>424</v>
      </c>
    </row>
    <row r="15" spans="2:6" x14ac:dyDescent="0.25">
      <c r="B15" s="275" t="s">
        <v>18</v>
      </c>
      <c r="C15" s="276" t="s">
        <v>9</v>
      </c>
      <c r="D15" s="100">
        <v>380</v>
      </c>
    </row>
    <row r="16" spans="2:6" x14ac:dyDescent="0.25">
      <c r="B16" s="275" t="s">
        <v>39</v>
      </c>
      <c r="C16" s="276" t="s">
        <v>5</v>
      </c>
      <c r="D16" s="100">
        <v>70.2</v>
      </c>
    </row>
    <row r="17" spans="2:4" x14ac:dyDescent="0.25">
      <c r="B17" s="275" t="s">
        <v>21</v>
      </c>
      <c r="C17" s="276" t="s">
        <v>3</v>
      </c>
      <c r="D17" s="100">
        <v>8.09</v>
      </c>
    </row>
    <row r="18" spans="2:4" x14ac:dyDescent="0.25">
      <c r="B18" s="275" t="s">
        <v>24</v>
      </c>
      <c r="C18" s="276" t="s">
        <v>4</v>
      </c>
      <c r="D18" s="100">
        <v>4.7</v>
      </c>
    </row>
    <row r="19" spans="2:4" ht="15.75" thickBot="1" x14ac:dyDescent="0.3">
      <c r="B19" s="277" t="s">
        <v>152</v>
      </c>
      <c r="C19" s="278" t="s">
        <v>10</v>
      </c>
      <c r="D19" s="101">
        <v>1.3</v>
      </c>
    </row>
    <row r="21" spans="2:4" x14ac:dyDescent="0.25">
      <c r="C21" s="279" t="s">
        <v>116</v>
      </c>
      <c r="D21" s="280">
        <f>SUM(D10:D19)</f>
        <v>33658.289999999994</v>
      </c>
    </row>
  </sheetData>
  <sheetProtection algorithmName="SHA-512" hashValue="a8XPNyBZaUoXfR0USQkoPgMNlhqZ12noPP7zJDa58834t+wHHe1sKI/wheFJi36U1k+SckbnUzFtMCqDgWQ8tQ==" saltValue="mTDxRl7ph8B7HLf8H5EV9w==" spinCount="100000" sheet="1" objects="1" scenarios="1" selectLockedCells="1"/>
  <mergeCells count="1">
    <mergeCell ref="B4:C4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30C53-EC76-441C-8FA7-22B92CD41593}">
  <sheetPr codeName="Tabelle3"/>
  <dimension ref="B1:I19"/>
  <sheetViews>
    <sheetView showGridLines="0" zoomScale="130" zoomScaleNormal="130" workbookViewId="0">
      <selection activeCell="C19" sqref="C19"/>
    </sheetView>
  </sheetViews>
  <sheetFormatPr baseColWidth="10" defaultRowHeight="15" x14ac:dyDescent="0.25"/>
  <cols>
    <col min="1" max="1" width="3" customWidth="1"/>
    <col min="2" max="2" width="12.140625" customWidth="1"/>
    <col min="3" max="3" width="9.7109375" bestFit="1" customWidth="1"/>
    <col min="4" max="4" width="10.140625" customWidth="1"/>
    <col min="5" max="5" width="11.42578125" bestFit="1" customWidth="1"/>
    <col min="6" max="6" width="3.42578125" customWidth="1"/>
    <col min="9" max="9" width="15.5703125" customWidth="1"/>
  </cols>
  <sheetData>
    <row r="1" spans="2:9" ht="18.75" x14ac:dyDescent="0.3">
      <c r="B1" s="68" t="s">
        <v>67</v>
      </c>
    </row>
    <row r="3" spans="2:9" x14ac:dyDescent="0.25">
      <c r="B3" s="281" t="s">
        <v>11</v>
      </c>
      <c r="C3" s="282" t="s">
        <v>68</v>
      </c>
      <c r="D3" s="282" t="s">
        <v>69</v>
      </c>
      <c r="E3" s="282" t="s">
        <v>13</v>
      </c>
    </row>
    <row r="4" spans="2:9" x14ac:dyDescent="0.25">
      <c r="B4" s="3" t="s">
        <v>70</v>
      </c>
      <c r="C4" s="98">
        <f>Messergebnisse!D10</f>
        <v>10878</v>
      </c>
      <c r="D4" s="7">
        <f>'Atommassen Wertigkeit'!G5</f>
        <v>22.99</v>
      </c>
      <c r="E4" s="7">
        <f>C4/D4</f>
        <v>473.16224445411052</v>
      </c>
    </row>
    <row r="5" spans="2:9" x14ac:dyDescent="0.25">
      <c r="B5" s="3" t="s">
        <v>20</v>
      </c>
      <c r="C5" s="98">
        <f>Messergebnisse!D12</f>
        <v>1375</v>
      </c>
      <c r="D5" s="7">
        <f>'Atommassen Wertigkeit'!G6</f>
        <v>12.1525</v>
      </c>
      <c r="E5" s="7">
        <f>C5/D5</f>
        <v>113.14544332441885</v>
      </c>
    </row>
    <row r="6" spans="2:9" x14ac:dyDescent="0.25">
      <c r="B6" s="3" t="s">
        <v>19</v>
      </c>
      <c r="C6" s="98">
        <f>Messergebnisse!D14</f>
        <v>424</v>
      </c>
      <c r="D6" s="7">
        <f>'Atommassen Wertigkeit'!G7</f>
        <v>20.039000000000001</v>
      </c>
      <c r="E6" s="7">
        <f>C6/D6</f>
        <v>21.158740456110582</v>
      </c>
    </row>
    <row r="7" spans="2:9" x14ac:dyDescent="0.25">
      <c r="B7" s="3" t="s">
        <v>18</v>
      </c>
      <c r="C7" s="98">
        <f>Messergebnisse!D15</f>
        <v>380</v>
      </c>
      <c r="D7" s="7">
        <f>'Atommassen Wertigkeit'!G8</f>
        <v>39.098300000000002</v>
      </c>
      <c r="E7" s="7">
        <f>C7/D7</f>
        <v>9.7190926459718199</v>
      </c>
    </row>
    <row r="8" spans="2:9" x14ac:dyDescent="0.25">
      <c r="C8" s="4"/>
      <c r="D8" s="4"/>
      <c r="I8" s="283"/>
    </row>
    <row r="9" spans="2:9" x14ac:dyDescent="0.25">
      <c r="B9" s="2" t="s">
        <v>86</v>
      </c>
      <c r="C9" s="35"/>
      <c r="D9" s="35"/>
      <c r="E9" s="35">
        <f>SUM(E4:E7)</f>
        <v>617.18552088061176</v>
      </c>
      <c r="I9" s="284"/>
    </row>
    <row r="10" spans="2:9" x14ac:dyDescent="0.25">
      <c r="C10" s="4"/>
      <c r="D10" s="4"/>
      <c r="E10" s="4"/>
    </row>
    <row r="11" spans="2:9" x14ac:dyDescent="0.25">
      <c r="B11" s="281" t="s">
        <v>12</v>
      </c>
      <c r="C11" s="282" t="s">
        <v>68</v>
      </c>
      <c r="D11" s="282" t="s">
        <v>69</v>
      </c>
      <c r="E11" s="282" t="s">
        <v>13</v>
      </c>
    </row>
    <row r="12" spans="2:9" x14ac:dyDescent="0.25">
      <c r="B12" s="285" t="s">
        <v>55</v>
      </c>
      <c r="C12" s="98">
        <f>Messergebnisse!D11</f>
        <v>19596</v>
      </c>
      <c r="D12" s="7">
        <f>'Atommassen Wertigkeit'!G12</f>
        <v>35.450000000000003</v>
      </c>
      <c r="E12" s="7">
        <f>C12/D12</f>
        <v>552.77856135401976</v>
      </c>
    </row>
    <row r="13" spans="2:9" x14ac:dyDescent="0.25">
      <c r="B13" s="285" t="s">
        <v>22</v>
      </c>
      <c r="C13" s="98">
        <f>Messergebnisse!D13/'Atommassen Wertigkeit'!K15</f>
        <v>2759.0534726337128</v>
      </c>
      <c r="D13" s="7">
        <f>'Atommassen Wertigkeit'!G13</f>
        <v>48.028799999999997</v>
      </c>
      <c r="E13" s="7">
        <f>C13/D13</f>
        <v>57.445813191953846</v>
      </c>
    </row>
    <row r="14" spans="2:9" x14ac:dyDescent="0.25">
      <c r="B14" s="285" t="s">
        <v>72</v>
      </c>
      <c r="C14" s="98">
        <f>Messergebnisse!D16</f>
        <v>70.2</v>
      </c>
      <c r="D14" s="7">
        <f>'Atommassen Wertigkeit'!G14</f>
        <v>79.903999999999996</v>
      </c>
      <c r="E14" s="7">
        <f>C14/D14</f>
        <v>0.87855426511814183</v>
      </c>
    </row>
    <row r="15" spans="2:9" ht="30" x14ac:dyDescent="0.25">
      <c r="B15" s="285" t="s">
        <v>85</v>
      </c>
      <c r="C15" s="98">
        <f>Messergebnisse!D7*0.0302*1000</f>
        <v>196.3</v>
      </c>
      <c r="D15" s="7">
        <f>'Atommassen Wertigkeit'!G18</f>
        <v>61.016800000000003</v>
      </c>
      <c r="E15" s="7">
        <f>C15/D15</f>
        <v>3.2171467530253963</v>
      </c>
    </row>
    <row r="16" spans="2:9" x14ac:dyDescent="0.25">
      <c r="B16" s="34"/>
      <c r="C16" s="4"/>
      <c r="D16" s="4"/>
      <c r="E16" s="4"/>
    </row>
    <row r="17" spans="2:5" x14ac:dyDescent="0.25">
      <c r="B17" s="2" t="s">
        <v>87</v>
      </c>
      <c r="C17" s="2"/>
      <c r="D17" s="2"/>
      <c r="E17" s="35">
        <f>SUM(E12:E15)</f>
        <v>614.32007556411725</v>
      </c>
    </row>
    <row r="19" spans="2:5" ht="17.25" customHeight="1" x14ac:dyDescent="0.25">
      <c r="B19" s="286" t="s">
        <v>89</v>
      </c>
      <c r="C19" s="287">
        <f>(E9-ABS(E17))/(E9+ABS(E17))</f>
        <v>2.3267822125752871E-3</v>
      </c>
      <c r="D19" s="288"/>
    </row>
  </sheetData>
  <sheetProtection algorithmName="SHA-512" hashValue="/eBpUCSzQD4BwaqJGPfxrN5ZJK9CXfmqVrpHY5+X5LZG+Nrf3vt+qjxbPzLhqXZSU6u67EQQDeeB7i+YSxpj4A==" saltValue="TQeTOCeRfn1FYg0DsEHU+g==" spinCount="100000" sheet="1" objects="1" scenarios="1" selectLockedCells="1"/>
  <conditionalFormatting sqref="C19">
    <cfRule type="cellIs" dxfId="30" priority="6" operator="lessThan">
      <formula>0</formula>
    </cfRule>
    <cfRule type="cellIs" dxfId="29" priority="7" operator="greaterThan">
      <formula>0</formula>
    </cfRule>
    <cfRule type="cellIs" dxfId="28" priority="9" operator="equal">
      <formula>0</formula>
    </cfRule>
  </conditionalFormatting>
  <conditionalFormatting sqref="D19">
    <cfRule type="iconSet" priority="3">
      <iconSet iconSet="3Symbols" showValue="0">
        <cfvo type="percent" val="0"/>
        <cfvo type="percent" val="0"/>
        <cfvo type="percent" val="0" gte="0"/>
      </iconSet>
    </cfRule>
  </conditionalFormatting>
  <pageMargins left="0.7" right="0.7" top="0.78740157499999996" bottom="0.78740157499999996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F8D0A-8FB9-4A57-90CF-C38A91C590B1}">
  <sheetPr codeName="Tabelle4">
    <tabColor rgb="FFFFFF00"/>
  </sheetPr>
  <dimension ref="B1:P34"/>
  <sheetViews>
    <sheetView showGridLines="0" zoomScaleNormal="100" workbookViewId="0">
      <selection activeCell="E29" sqref="E29"/>
    </sheetView>
  </sheetViews>
  <sheetFormatPr baseColWidth="10" defaultRowHeight="15" x14ac:dyDescent="0.25"/>
  <cols>
    <col min="1" max="1" width="2.140625" customWidth="1"/>
    <col min="2" max="2" width="5" customWidth="1"/>
    <col min="3" max="3" width="17.28515625" customWidth="1"/>
    <col min="4" max="4" width="9.140625" customWidth="1"/>
    <col min="5" max="5" width="12.140625" bestFit="1" customWidth="1"/>
    <col min="6" max="6" width="8" customWidth="1"/>
    <col min="7" max="7" width="12.28515625" bestFit="1" customWidth="1"/>
    <col min="8" max="8" width="13.7109375" customWidth="1"/>
    <col min="9" max="9" width="13.28515625" customWidth="1"/>
    <col min="10" max="10" width="13.42578125" customWidth="1"/>
    <col min="11" max="11" width="4" style="121" customWidth="1"/>
    <col min="12" max="12" width="12" bestFit="1" customWidth="1"/>
    <col min="13" max="13" width="9.28515625" customWidth="1"/>
    <col min="14" max="14" width="3.7109375" style="1" customWidth="1"/>
    <col min="15" max="15" width="10.140625" bestFit="1" customWidth="1"/>
    <col min="16" max="16" width="9.28515625" bestFit="1" customWidth="1"/>
    <col min="17" max="17" width="4.28515625" customWidth="1"/>
  </cols>
  <sheetData>
    <row r="1" spans="2:16" ht="9" customHeight="1" x14ac:dyDescent="0.25"/>
    <row r="2" spans="2:16" ht="28.5" x14ac:dyDescent="0.45">
      <c r="D2" s="89" t="s">
        <v>67</v>
      </c>
      <c r="K2" s="91" t="b">
        <v>1</v>
      </c>
      <c r="L2" s="298">
        <f>E4</f>
        <v>34.5</v>
      </c>
      <c r="M2" s="299"/>
      <c r="O2" s="296">
        <v>35</v>
      </c>
      <c r="P2" s="297"/>
    </row>
    <row r="3" spans="2:16" ht="45" x14ac:dyDescent="0.25">
      <c r="I3" s="84"/>
      <c r="L3" s="81" t="s">
        <v>97</v>
      </c>
      <c r="M3" s="73" t="s">
        <v>94</v>
      </c>
      <c r="O3" s="73" t="s">
        <v>96</v>
      </c>
      <c r="P3" s="81" t="s">
        <v>95</v>
      </c>
    </row>
    <row r="4" spans="2:16" ht="15.75" x14ac:dyDescent="0.25">
      <c r="C4" s="2" t="s">
        <v>101</v>
      </c>
      <c r="E4" s="98">
        <f>Messergebnisse!D6</f>
        <v>34.5</v>
      </c>
      <c r="I4" s="87" t="s">
        <v>46</v>
      </c>
      <c r="J4" s="85">
        <f>(I17-ABS(I31))/(I17+ABS(I31))</f>
        <v>2.0197132787067879E-3</v>
      </c>
      <c r="L4" s="92">
        <v>35</v>
      </c>
      <c r="M4" s="3">
        <f>E4-L4</f>
        <v>-0.5</v>
      </c>
      <c r="O4" s="67">
        <f>Hauptelemente!E7</f>
        <v>35</v>
      </c>
      <c r="P4" s="7">
        <f>E4-O4</f>
        <v>-0.5</v>
      </c>
    </row>
    <row r="5" spans="2:16" ht="18" x14ac:dyDescent="0.25">
      <c r="C5" s="2" t="s">
        <v>102</v>
      </c>
      <c r="E5" s="98">
        <f>Messergebnisse!D7</f>
        <v>6.5</v>
      </c>
      <c r="I5" s="87" t="s">
        <v>100</v>
      </c>
      <c r="J5" s="85">
        <f>IF(K2=TRUE,(I17-ABS(I31))/(0.5*(I17+ABS(I31))),"-")</f>
        <v>4.0394265574135758E-3</v>
      </c>
      <c r="L5" s="67">
        <f>O5</f>
        <v>7.5</v>
      </c>
      <c r="M5" s="7">
        <f>E5-L5</f>
        <v>-1</v>
      </c>
      <c r="O5" s="67">
        <v>7.5</v>
      </c>
      <c r="P5" s="7">
        <f>E5-O5</f>
        <v>-1</v>
      </c>
    </row>
    <row r="6" spans="2:16" x14ac:dyDescent="0.25">
      <c r="C6" s="2" t="s">
        <v>88</v>
      </c>
      <c r="E6" s="98">
        <f>Messergebnisse!D13</f>
        <v>921</v>
      </c>
      <c r="L6" s="92">
        <f>O6*$L$8/$O$8</f>
        <v>906.85714285714289</v>
      </c>
      <c r="M6" s="7">
        <f>E6-L6</f>
        <v>14.14285714285711</v>
      </c>
      <c r="O6" s="67">
        <f>Hauptelemente!E10</f>
        <v>920</v>
      </c>
      <c r="P6" s="7">
        <f>E6-O6</f>
        <v>1</v>
      </c>
    </row>
    <row r="7" spans="2:16" ht="9" customHeight="1" x14ac:dyDescent="0.25"/>
    <row r="8" spans="2:16" x14ac:dyDescent="0.25">
      <c r="C8" s="6" t="s">
        <v>33</v>
      </c>
      <c r="D8" s="6" t="s">
        <v>4</v>
      </c>
      <c r="E8" s="6" t="s">
        <v>34</v>
      </c>
      <c r="F8" s="6" t="s">
        <v>35</v>
      </c>
      <c r="G8" s="6" t="s">
        <v>10</v>
      </c>
      <c r="H8" s="6" t="s">
        <v>37</v>
      </c>
      <c r="I8" s="6" t="s">
        <v>38</v>
      </c>
      <c r="J8" s="6" t="s">
        <v>7</v>
      </c>
      <c r="L8" s="310">
        <f>E4</f>
        <v>34.5</v>
      </c>
      <c r="M8" s="311"/>
      <c r="O8" s="308">
        <f>O2</f>
        <v>35</v>
      </c>
      <c r="P8" s="309"/>
    </row>
    <row r="9" spans="2:16" ht="60.75" thickBot="1" x14ac:dyDescent="0.3">
      <c r="C9" s="72" t="s">
        <v>15</v>
      </c>
      <c r="D9" s="72" t="s">
        <v>30</v>
      </c>
      <c r="E9" s="73" t="s">
        <v>48</v>
      </c>
      <c r="F9" s="74" t="s">
        <v>42</v>
      </c>
      <c r="G9" s="73" t="s">
        <v>31</v>
      </c>
      <c r="H9" s="73" t="s">
        <v>14</v>
      </c>
      <c r="I9" s="73" t="s">
        <v>47</v>
      </c>
      <c r="J9" s="75" t="s">
        <v>49</v>
      </c>
      <c r="L9" s="81" t="s">
        <v>97</v>
      </c>
      <c r="M9" s="73" t="s">
        <v>94</v>
      </c>
      <c r="O9" s="73" t="s">
        <v>96</v>
      </c>
      <c r="P9" s="81" t="s">
        <v>95</v>
      </c>
    </row>
    <row r="10" spans="2:16" ht="15" customHeight="1" x14ac:dyDescent="0.25">
      <c r="B10" s="303" t="s">
        <v>11</v>
      </c>
      <c r="C10" s="160" t="s">
        <v>17</v>
      </c>
      <c r="D10" s="160" t="s">
        <v>0</v>
      </c>
      <c r="E10" s="161">
        <f>Messergebnisse!D10</f>
        <v>10878</v>
      </c>
      <c r="F10" s="162">
        <v>1</v>
      </c>
      <c r="G10" s="163">
        <f>'Atommassen Wertigkeit'!E5</f>
        <v>22.99</v>
      </c>
      <c r="H10" s="163">
        <f t="shared" ref="H10:H15" si="0">E10/G10</f>
        <v>473.16224445411052</v>
      </c>
      <c r="I10" s="163">
        <f t="shared" ref="I10:I15" si="1">H10*F10</f>
        <v>473.16224445411052</v>
      </c>
      <c r="J10" s="157">
        <f>I10/I17</f>
        <v>0.76638089700127521</v>
      </c>
      <c r="L10" s="92">
        <f t="shared" ref="L10:L15" si="2">O10*$L$8/$O$8</f>
        <v>10877.85</v>
      </c>
      <c r="M10" s="7">
        <f t="shared" ref="M10:M14" si="3">E10-L10</f>
        <v>0.1499999999996362</v>
      </c>
      <c r="N10" s="300"/>
      <c r="O10" s="67">
        <f>Hauptelemente!E8</f>
        <v>11035.5</v>
      </c>
      <c r="P10" s="7">
        <f t="shared" ref="P10:P15" si="4">E10-O10</f>
        <v>-157.5</v>
      </c>
    </row>
    <row r="11" spans="2:16" x14ac:dyDescent="0.25">
      <c r="B11" s="306"/>
      <c r="C11" s="164" t="s">
        <v>20</v>
      </c>
      <c r="D11" s="164" t="s">
        <v>2</v>
      </c>
      <c r="E11" s="165">
        <f>Messergebnisse!D12</f>
        <v>1375</v>
      </c>
      <c r="F11" s="166">
        <v>2</v>
      </c>
      <c r="G11" s="167">
        <f>'Atommassen Wertigkeit'!E6</f>
        <v>24.305</v>
      </c>
      <c r="H11" s="167">
        <f t="shared" si="0"/>
        <v>56.572721662209425</v>
      </c>
      <c r="I11" s="167">
        <f t="shared" si="1"/>
        <v>113.14544332441885</v>
      </c>
      <c r="J11" s="158">
        <f>I11/I17</f>
        <v>0.18326167686226885</v>
      </c>
      <c r="L11" s="92">
        <f t="shared" si="2"/>
        <v>1294.9328571428571</v>
      </c>
      <c r="M11" s="7">
        <f t="shared" si="3"/>
        <v>80.067142857142926</v>
      </c>
      <c r="N11" s="301"/>
      <c r="O11" s="67">
        <f>Hauptelemente!E11</f>
        <v>1313.7</v>
      </c>
      <c r="P11" s="7">
        <f t="shared" si="4"/>
        <v>61.299999999999955</v>
      </c>
    </row>
    <row r="12" spans="2:16" x14ac:dyDescent="0.25">
      <c r="B12" s="306"/>
      <c r="C12" s="164" t="s">
        <v>19</v>
      </c>
      <c r="D12" s="164" t="s">
        <v>1</v>
      </c>
      <c r="E12" s="165">
        <f>Messergebnisse!D14</f>
        <v>424</v>
      </c>
      <c r="F12" s="166">
        <v>2</v>
      </c>
      <c r="G12" s="167">
        <f>'Atommassen Wertigkeit'!E7</f>
        <v>40.078000000000003</v>
      </c>
      <c r="H12" s="167">
        <f t="shared" si="0"/>
        <v>10.579370228055291</v>
      </c>
      <c r="I12" s="167">
        <f t="shared" si="1"/>
        <v>21.158740456110582</v>
      </c>
      <c r="J12" s="158">
        <f>I12/I17</f>
        <v>3.4270812348688715E-2</v>
      </c>
      <c r="L12" s="92">
        <f t="shared" si="2"/>
        <v>415.67571428571426</v>
      </c>
      <c r="M12" s="7">
        <f t="shared" si="3"/>
        <v>8.324285714285736</v>
      </c>
      <c r="N12" s="301"/>
      <c r="O12" s="67">
        <f>Hauptelemente!E12</f>
        <v>421.7</v>
      </c>
      <c r="P12" s="7">
        <f t="shared" si="4"/>
        <v>2.3000000000000114</v>
      </c>
    </row>
    <row r="13" spans="2:16" x14ac:dyDescent="0.25">
      <c r="B13" s="306"/>
      <c r="C13" s="164" t="s">
        <v>18</v>
      </c>
      <c r="D13" s="164" t="s">
        <v>9</v>
      </c>
      <c r="E13" s="165">
        <f>Messergebnisse!D15</f>
        <v>380</v>
      </c>
      <c r="F13" s="166">
        <v>1</v>
      </c>
      <c r="G13" s="167">
        <f>'Atommassen Wertigkeit'!E8</f>
        <v>39.098300000000002</v>
      </c>
      <c r="H13" s="167">
        <f t="shared" si="0"/>
        <v>9.7190926459718199</v>
      </c>
      <c r="I13" s="167">
        <f t="shared" si="1"/>
        <v>9.7190926459718199</v>
      </c>
      <c r="J13" s="158">
        <f>I13/I17</f>
        <v>1.5742014557082382E-2</v>
      </c>
      <c r="L13" s="92">
        <f t="shared" si="2"/>
        <v>402.56571428571425</v>
      </c>
      <c r="M13" s="7">
        <f t="shared" si="3"/>
        <v>-22.56571428571425</v>
      </c>
      <c r="N13" s="301"/>
      <c r="O13" s="67">
        <f>Hauptelemente!E13</f>
        <v>408.4</v>
      </c>
      <c r="P13" s="7">
        <f t="shared" si="4"/>
        <v>-28.399999999999977</v>
      </c>
    </row>
    <row r="14" spans="2:16" x14ac:dyDescent="0.25">
      <c r="B14" s="306"/>
      <c r="C14" s="3" t="s">
        <v>21</v>
      </c>
      <c r="D14" s="3" t="s">
        <v>3</v>
      </c>
      <c r="E14" s="98">
        <f>Messergebnisse!D17</f>
        <v>8.09</v>
      </c>
      <c r="F14" s="8">
        <v>2</v>
      </c>
      <c r="G14" s="9">
        <f>'Atommassen Wertigkeit'!E9</f>
        <v>87.62</v>
      </c>
      <c r="H14" s="9">
        <f t="shared" si="0"/>
        <v>9.2330518146541876E-2</v>
      </c>
      <c r="I14" s="9">
        <f t="shared" si="1"/>
        <v>0.18466103629308375</v>
      </c>
      <c r="J14" s="82">
        <f>I14/I17</f>
        <v>2.9909548425350723E-4</v>
      </c>
      <c r="L14" s="92">
        <f t="shared" si="2"/>
        <v>7.984285714285714</v>
      </c>
      <c r="M14" s="7">
        <f t="shared" si="3"/>
        <v>0.10571428571428587</v>
      </c>
      <c r="N14" s="301"/>
      <c r="O14" s="67">
        <f>Hauptelemente!E15</f>
        <v>8.1</v>
      </c>
      <c r="P14" s="7">
        <f t="shared" si="4"/>
        <v>-9.9999999999997868E-3</v>
      </c>
    </row>
    <row r="15" spans="2:16" ht="15.75" thickBot="1" x14ac:dyDescent="0.3">
      <c r="B15" s="307"/>
      <c r="C15" s="69" t="s">
        <v>16</v>
      </c>
      <c r="D15" s="69" t="s">
        <v>6</v>
      </c>
      <c r="E15" s="96">
        <v>0.19500000000000001</v>
      </c>
      <c r="F15" s="70">
        <v>1</v>
      </c>
      <c r="G15" s="71">
        <f>'Atommassen Wertigkeit'!E10</f>
        <v>6.9409999999999998</v>
      </c>
      <c r="H15" s="71">
        <f t="shared" si="0"/>
        <v>2.8093934591557415E-2</v>
      </c>
      <c r="I15" s="71">
        <f t="shared" si="1"/>
        <v>2.8093934591557415E-2</v>
      </c>
      <c r="J15" s="83">
        <f>I15/I17</f>
        <v>4.5503746431444338E-5</v>
      </c>
      <c r="L15" s="94">
        <f t="shared" si="2"/>
        <v>0.1715142857142857</v>
      </c>
      <c r="M15" s="258">
        <f>E15-L15</f>
        <v>2.3485714285714304E-2</v>
      </c>
      <c r="O15" s="93">
        <v>0.17399999999999999</v>
      </c>
      <c r="P15" s="258">
        <f t="shared" si="4"/>
        <v>2.1000000000000019E-2</v>
      </c>
    </row>
    <row r="16" spans="2:16" x14ac:dyDescent="0.25">
      <c r="E16" s="5"/>
      <c r="F16" s="1"/>
    </row>
    <row r="17" spans="2:16" ht="15.75" x14ac:dyDescent="0.25">
      <c r="C17" s="11" t="s">
        <v>92</v>
      </c>
      <c r="D17" s="11"/>
      <c r="E17" s="12">
        <f>SUM(E10:E15)</f>
        <v>13065.285</v>
      </c>
      <c r="F17" s="11"/>
      <c r="G17" s="11"/>
      <c r="H17" s="11"/>
      <c r="I17" s="13">
        <f>SUM(I10:I16)</f>
        <v>617.39827585149635</v>
      </c>
      <c r="J17" s="86">
        <f>SUM(J10:J15)</f>
        <v>1.0000000000000002</v>
      </c>
      <c r="L17" s="12">
        <f>SUM(L10:L15)</f>
        <v>12999.180085714286</v>
      </c>
      <c r="O17" s="12">
        <f>SUM(O10:O15)</f>
        <v>13187.574000000002</v>
      </c>
    </row>
    <row r="19" spans="2:16" ht="60.75" thickBot="1" x14ac:dyDescent="0.3">
      <c r="C19" s="72" t="s">
        <v>15</v>
      </c>
      <c r="D19" s="72" t="s">
        <v>30</v>
      </c>
      <c r="E19" s="73" t="s">
        <v>48</v>
      </c>
      <c r="F19" s="74" t="s">
        <v>43</v>
      </c>
      <c r="G19" s="73" t="s">
        <v>31</v>
      </c>
      <c r="H19" s="73" t="s">
        <v>14</v>
      </c>
      <c r="I19" s="73" t="s">
        <v>47</v>
      </c>
      <c r="J19" s="75" t="s">
        <v>49</v>
      </c>
      <c r="L19" s="81" t="s">
        <v>97</v>
      </c>
      <c r="M19" s="73" t="s">
        <v>94</v>
      </c>
      <c r="O19" s="73" t="s">
        <v>96</v>
      </c>
      <c r="P19" s="81" t="s">
        <v>95</v>
      </c>
    </row>
    <row r="20" spans="2:16" x14ac:dyDescent="0.25">
      <c r="B20" s="303" t="s">
        <v>12</v>
      </c>
      <c r="C20" s="160" t="s">
        <v>32</v>
      </c>
      <c r="D20" s="160" t="s">
        <v>8</v>
      </c>
      <c r="E20" s="161">
        <f>Messergebnisse!D11</f>
        <v>19596</v>
      </c>
      <c r="F20" s="162">
        <v>1</v>
      </c>
      <c r="G20" s="163">
        <f>'Atommassen Wertigkeit'!E12</f>
        <v>35.450000000000003</v>
      </c>
      <c r="H20" s="163">
        <f>E20/G20</f>
        <v>552.77856135401976</v>
      </c>
      <c r="I20" s="163">
        <f t="shared" ref="I20:I29" si="5">H20*F20</f>
        <v>552.77856135401976</v>
      </c>
      <c r="J20" s="157">
        <f>I20/I31</f>
        <v>0.89895940825460896</v>
      </c>
      <c r="L20" s="92">
        <f>O20*$L$8/$O$8</f>
        <v>19521.677142857141</v>
      </c>
      <c r="M20" s="7">
        <f t="shared" ref="M20:M29" si="6">E20-L20</f>
        <v>74.322857142858993</v>
      </c>
      <c r="N20" s="300"/>
      <c r="O20" s="67">
        <f>Hauptelemente!E9</f>
        <v>19804.599999999999</v>
      </c>
      <c r="P20" s="7">
        <f t="shared" ref="P20:P29" si="7">E20-O20</f>
        <v>-208.59999999999854</v>
      </c>
    </row>
    <row r="21" spans="2:16" ht="18" x14ac:dyDescent="0.35">
      <c r="B21" s="304"/>
      <c r="C21" s="164" t="s">
        <v>22</v>
      </c>
      <c r="D21" s="164" t="s">
        <v>27</v>
      </c>
      <c r="E21" s="165">
        <f>'0.5% IB'!C13</f>
        <v>2759.0534726337128</v>
      </c>
      <c r="F21" s="166">
        <v>2</v>
      </c>
      <c r="G21" s="167">
        <f>'Atommassen Wertigkeit'!E13</f>
        <v>96.057599999999994</v>
      </c>
      <c r="H21" s="167">
        <f t="shared" ref="H21:H29" si="8">E21/G21</f>
        <v>28.722906595976923</v>
      </c>
      <c r="I21" s="167">
        <f t="shared" si="5"/>
        <v>57.445813191953846</v>
      </c>
      <c r="J21" s="158">
        <f>I21/I31</f>
        <v>9.3421593824566843E-2</v>
      </c>
      <c r="L21" s="92">
        <f>O21*$L$8/$O$8</f>
        <v>2716.6855039985744</v>
      </c>
      <c r="M21" s="7">
        <f t="shared" si="6"/>
        <v>42.367968635138368</v>
      </c>
      <c r="N21" s="301"/>
      <c r="O21" s="67">
        <f>Hauptelemente!E10/'Atommassen Wertigkeit'!K15</f>
        <v>2756.0577576797132</v>
      </c>
      <c r="P21" s="7">
        <f t="shared" si="7"/>
        <v>2.9957149539995953</v>
      </c>
    </row>
    <row r="22" spans="2:16" x14ac:dyDescent="0.25">
      <c r="B22" s="304"/>
      <c r="C22" s="164" t="s">
        <v>39</v>
      </c>
      <c r="D22" s="164" t="s">
        <v>5</v>
      </c>
      <c r="E22" s="165">
        <f>Messergebnisse!D16</f>
        <v>70.2</v>
      </c>
      <c r="F22" s="166">
        <v>1</v>
      </c>
      <c r="G22" s="167">
        <f>'Atommassen Wertigkeit'!E14</f>
        <v>79.903999999999996</v>
      </c>
      <c r="H22" s="167">
        <f t="shared" si="8"/>
        <v>0.87855426511814183</v>
      </c>
      <c r="I22" s="167">
        <f t="shared" si="5"/>
        <v>0.87855426511814183</v>
      </c>
      <c r="J22" s="158">
        <f>I22/I31</f>
        <v>1.4287540753310083E-3</v>
      </c>
      <c r="L22" s="92">
        <f>O22*$L$8/$O$8</f>
        <v>67.817142857142855</v>
      </c>
      <c r="M22" s="7">
        <f t="shared" si="6"/>
        <v>2.3828571428571479</v>
      </c>
      <c r="N22" s="301"/>
      <c r="O22" s="67">
        <f>Hauptelemente!E14</f>
        <v>68.8</v>
      </c>
      <c r="P22" s="7">
        <f t="shared" si="7"/>
        <v>1.4000000000000057</v>
      </c>
    </row>
    <row r="23" spans="2:16" ht="18" x14ac:dyDescent="0.35">
      <c r="B23" s="304"/>
      <c r="C23" s="164" t="s">
        <v>25</v>
      </c>
      <c r="D23" s="164" t="s">
        <v>44</v>
      </c>
      <c r="E23" s="165">
        <f>'0.5% IB'!C15</f>
        <v>196.3</v>
      </c>
      <c r="F23" s="166">
        <v>1</v>
      </c>
      <c r="G23" s="167">
        <f>'Atommassen Wertigkeit'!E18</f>
        <v>61.016800000000003</v>
      </c>
      <c r="H23" s="167">
        <f t="shared" si="8"/>
        <v>3.2171467530253963</v>
      </c>
      <c r="I23" s="167">
        <f t="shared" si="5"/>
        <v>3.2171467530253963</v>
      </c>
      <c r="J23" s="158">
        <f>I23/I31</f>
        <v>5.2319039549649782E-3</v>
      </c>
      <c r="L23" s="67">
        <f>O23</f>
        <v>226.5</v>
      </c>
      <c r="M23" s="7">
        <f t="shared" si="6"/>
        <v>-30.199999999999989</v>
      </c>
      <c r="N23" s="301"/>
      <c r="O23" s="67">
        <f>O5*0.0302*1000</f>
        <v>226.5</v>
      </c>
      <c r="P23" s="7">
        <f t="shared" si="7"/>
        <v>-30.199999999999989</v>
      </c>
    </row>
    <row r="24" spans="2:16" x14ac:dyDescent="0.25">
      <c r="B24" s="304"/>
      <c r="C24" s="3" t="s">
        <v>24</v>
      </c>
      <c r="D24" s="3" t="s">
        <v>4</v>
      </c>
      <c r="E24" s="98">
        <f>Messergebnisse!D18</f>
        <v>4.7</v>
      </c>
      <c r="F24" s="8">
        <v>1</v>
      </c>
      <c r="G24" s="9">
        <f>'Atommassen Wertigkeit'!E15</f>
        <v>10.81</v>
      </c>
      <c r="H24" s="9">
        <f t="shared" si="8"/>
        <v>0.43478260869565216</v>
      </c>
      <c r="I24" s="9">
        <f t="shared" si="5"/>
        <v>0.43478260869565216</v>
      </c>
      <c r="J24" s="82">
        <f>I24/I31</f>
        <v>7.07067791621757E-4</v>
      </c>
      <c r="L24" s="92">
        <f>O24*$L$8/$O$8</f>
        <v>4.4652857142857139</v>
      </c>
      <c r="M24" s="7">
        <f t="shared" si="6"/>
        <v>0.23471428571428632</v>
      </c>
      <c r="N24" s="301"/>
      <c r="O24" s="67">
        <f>Hauptelemente!E16</f>
        <v>4.53</v>
      </c>
      <c r="P24" s="7">
        <f t="shared" si="7"/>
        <v>0.16999999999999993</v>
      </c>
    </row>
    <row r="25" spans="2:16" x14ac:dyDescent="0.25">
      <c r="B25" s="304"/>
      <c r="C25" s="3" t="s">
        <v>152</v>
      </c>
      <c r="D25" s="3" t="s">
        <v>10</v>
      </c>
      <c r="E25" s="98">
        <f>Messergebnisse!D19</f>
        <v>1.3</v>
      </c>
      <c r="F25" s="8">
        <v>1</v>
      </c>
      <c r="G25" s="9">
        <f>'Atommassen Wertigkeit'!E16</f>
        <v>18.9984</v>
      </c>
      <c r="H25" s="9">
        <f t="shared" si="8"/>
        <v>6.842681488967492E-2</v>
      </c>
      <c r="I25" s="9">
        <f t="shared" si="5"/>
        <v>6.842681488967492E-2</v>
      </c>
      <c r="J25" s="82">
        <f>I25/I31</f>
        <v>1.1127951285103237E-4</v>
      </c>
      <c r="L25" s="94">
        <f>O25*$L$8/$O$8</f>
        <v>1.2814285714285714</v>
      </c>
      <c r="M25" s="7">
        <f t="shared" si="6"/>
        <v>1.8571428571428683E-2</v>
      </c>
      <c r="N25" s="302"/>
      <c r="O25" s="67">
        <f>Hauptelemente!E17</f>
        <v>1.3</v>
      </c>
      <c r="P25" s="7">
        <f t="shared" si="7"/>
        <v>0</v>
      </c>
    </row>
    <row r="26" spans="2:16" x14ac:dyDescent="0.25">
      <c r="B26" s="304"/>
      <c r="C26" s="3" t="s">
        <v>41</v>
      </c>
      <c r="D26" s="3" t="s">
        <v>7</v>
      </c>
      <c r="E26" s="95">
        <v>0.05</v>
      </c>
      <c r="F26" s="8">
        <v>1</v>
      </c>
      <c r="G26" s="9">
        <f>'Atommassen Wertigkeit'!E17</f>
        <v>126.90447</v>
      </c>
      <c r="H26" s="9">
        <f t="shared" si="8"/>
        <v>3.9399715392215892E-4</v>
      </c>
      <c r="I26" s="9">
        <f t="shared" si="5"/>
        <v>3.9399715392215892E-4</v>
      </c>
      <c r="J26" s="82">
        <f>I26/I31</f>
        <v>6.4074020431669631E-7</v>
      </c>
      <c r="L26" s="259">
        <f>O26*$L$8/$O$8</f>
        <v>6.4071428571428571E-2</v>
      </c>
      <c r="M26" s="9">
        <f t="shared" si="6"/>
        <v>-1.4071428571428568E-2</v>
      </c>
      <c r="O26" s="260">
        <v>6.5000000000000002E-2</v>
      </c>
      <c r="P26" s="9">
        <f t="shared" si="7"/>
        <v>-1.4999999999999999E-2</v>
      </c>
    </row>
    <row r="27" spans="2:16" ht="18" x14ac:dyDescent="0.35">
      <c r="B27" s="304"/>
      <c r="C27" s="3" t="s">
        <v>23</v>
      </c>
      <c r="D27" s="3" t="s">
        <v>28</v>
      </c>
      <c r="E27" s="88">
        <v>5.0999999999999996</v>
      </c>
      <c r="F27" s="8">
        <v>1</v>
      </c>
      <c r="G27" s="9">
        <f>'Atommassen Wertigkeit'!E21</f>
        <v>62.004899999999999</v>
      </c>
      <c r="H27" s="9">
        <f t="shared" si="8"/>
        <v>8.2251563989297616E-2</v>
      </c>
      <c r="I27" s="9">
        <f t="shared" si="5"/>
        <v>8.2251563989297616E-2</v>
      </c>
      <c r="J27" s="82">
        <f>I27/I31</f>
        <v>1.3376209292690109E-4</v>
      </c>
      <c r="L27" s="67">
        <f>O27</f>
        <v>2</v>
      </c>
      <c r="M27" s="7">
        <f t="shared" si="6"/>
        <v>3.0999999999999996</v>
      </c>
      <c r="O27" s="67">
        <v>2</v>
      </c>
      <c r="P27" s="7">
        <f t="shared" si="7"/>
        <v>3.0999999999999996</v>
      </c>
    </row>
    <row r="28" spans="2:16" ht="18" x14ac:dyDescent="0.35">
      <c r="B28" s="304"/>
      <c r="C28" s="3" t="s">
        <v>26</v>
      </c>
      <c r="D28" s="3" t="s">
        <v>29</v>
      </c>
      <c r="E28" s="88">
        <v>0.1</v>
      </c>
      <c r="F28" s="8">
        <v>1</v>
      </c>
      <c r="G28" s="9">
        <f>'Atommassen Wertigkeit'!E22</f>
        <v>46.005499999999998</v>
      </c>
      <c r="H28" s="9">
        <f t="shared" si="8"/>
        <v>2.173653150166828E-3</v>
      </c>
      <c r="I28" s="9">
        <f t="shared" si="5"/>
        <v>2.173653150166828E-3</v>
      </c>
      <c r="J28" s="82">
        <f>I28/I31</f>
        <v>3.5349163050723091E-6</v>
      </c>
      <c r="L28" s="67">
        <f>O28</f>
        <v>0.1</v>
      </c>
      <c r="M28" s="7">
        <f t="shared" si="6"/>
        <v>0</v>
      </c>
      <c r="O28" s="67">
        <v>0.1</v>
      </c>
      <c r="P28" s="7">
        <f t="shared" si="7"/>
        <v>0</v>
      </c>
    </row>
    <row r="29" spans="2:16" ht="18.75" thickBot="1" x14ac:dyDescent="0.4">
      <c r="B29" s="305"/>
      <c r="C29" s="69" t="s">
        <v>40</v>
      </c>
      <c r="D29" s="69" t="s">
        <v>45</v>
      </c>
      <c r="E29" s="90">
        <v>0.04</v>
      </c>
      <c r="F29" s="70">
        <v>3</v>
      </c>
      <c r="G29" s="71">
        <f>'Atommassen Wertigkeit'!E23</f>
        <v>94.971400000000003</v>
      </c>
      <c r="H29" s="71">
        <f t="shared" si="8"/>
        <v>4.2117942875434077E-4</v>
      </c>
      <c r="I29" s="71">
        <f t="shared" si="5"/>
        <v>1.2635382862630222E-3</v>
      </c>
      <c r="J29" s="83">
        <f>I29/I31</f>
        <v>2.0548366191043292E-6</v>
      </c>
      <c r="L29" s="67">
        <f>O29</f>
        <v>0.04</v>
      </c>
      <c r="M29" s="7">
        <f t="shared" si="6"/>
        <v>0</v>
      </c>
      <c r="O29" s="67">
        <v>0.04</v>
      </c>
      <c r="P29" s="7">
        <f t="shared" si="7"/>
        <v>0</v>
      </c>
    </row>
    <row r="30" spans="2:16" x14ac:dyDescent="0.25">
      <c r="E30" s="5"/>
      <c r="F30" s="1"/>
      <c r="G30" s="10"/>
      <c r="H30" s="10"/>
      <c r="I30" s="10"/>
    </row>
    <row r="31" spans="2:16" ht="15.75" x14ac:dyDescent="0.25">
      <c r="C31" s="11" t="s">
        <v>93</v>
      </c>
      <c r="D31" s="11"/>
      <c r="E31" s="12">
        <f>SUM(E20:E29)</f>
        <v>22632.843472633711</v>
      </c>
      <c r="F31" s="11"/>
      <c r="G31" s="13"/>
      <c r="H31" s="13"/>
      <c r="I31" s="13">
        <f>SUM(I20:I30)</f>
        <v>614.90936774028216</v>
      </c>
      <c r="J31" s="86">
        <f>SUM(J20:J29)</f>
        <v>1.0000000000000002</v>
      </c>
      <c r="L31" s="12">
        <f>SUM(L20:L29)</f>
        <v>22540.630575427149</v>
      </c>
      <c r="O31" s="12">
        <f>SUM(O20:O29)</f>
        <v>22863.992757679709</v>
      </c>
      <c r="P31" s="4"/>
    </row>
    <row r="33" spans="3:16" x14ac:dyDescent="0.25">
      <c r="C33" s="2" t="s">
        <v>98</v>
      </c>
      <c r="E33" s="4">
        <f>E17+E31</f>
        <v>35698.128472633711</v>
      </c>
      <c r="L33" s="4">
        <f>L17+L31</f>
        <v>35539.810661141433</v>
      </c>
      <c r="O33" s="4">
        <f>O17+O31</f>
        <v>36051.566757679713</v>
      </c>
      <c r="P33" s="4"/>
    </row>
    <row r="34" spans="3:16" x14ac:dyDescent="0.25">
      <c r="C34" s="2" t="s">
        <v>99</v>
      </c>
      <c r="E34" s="4">
        <f>E33/1.02335/1000</f>
        <v>34.883596494487428</v>
      </c>
      <c r="L34" s="4">
        <f>L33/1.02335/1000</f>
        <v>34.728891055007018</v>
      </c>
      <c r="O34" s="4">
        <f>O33/1.02335/1000</f>
        <v>35.228970301147903</v>
      </c>
      <c r="P34" s="4"/>
    </row>
  </sheetData>
  <sheetProtection algorithmName="SHA-512" hashValue="gby04PnpLpMJTSkai+NyLiVrcHcrDrprat5xIOmxvioptJZfpSOrcmZAUV7gHh70gBdwY0njpm3VRoavotk/qQ==" saltValue="wgchgE9NyDKSZGKsPeEyiQ==" spinCount="100000" sheet="1" objects="1" scenarios="1" selectLockedCells="1"/>
  <mergeCells count="8">
    <mergeCell ref="O2:P2"/>
    <mergeCell ref="L2:M2"/>
    <mergeCell ref="N10:N14"/>
    <mergeCell ref="N20:N25"/>
    <mergeCell ref="B20:B29"/>
    <mergeCell ref="B10:B15"/>
    <mergeCell ref="O8:P8"/>
    <mergeCell ref="L8:M8"/>
  </mergeCells>
  <conditionalFormatting sqref="J4">
    <cfRule type="expression" dxfId="27" priority="13">
      <formula>$J$4&gt;0</formula>
    </cfRule>
    <cfRule type="expression" dxfId="26" priority="14">
      <formula>$J$4&lt;0</formula>
    </cfRule>
  </conditionalFormatting>
  <conditionalFormatting sqref="J5">
    <cfRule type="expression" dxfId="25" priority="10">
      <formula>$J$5="-"</formula>
    </cfRule>
    <cfRule type="expression" dxfId="24" priority="11">
      <formula>$J$5&lt;0</formula>
    </cfRule>
    <cfRule type="expression" dxfId="23" priority="12">
      <formula>$J$5&gt;0</formula>
    </cfRule>
  </conditionalFormatting>
  <pageMargins left="0.7" right="0.7" top="0.78740157499999996" bottom="0.78740157499999996" header="0.3" footer="0.3"/>
  <pageSetup paperSize="9" orientation="landscape" r:id="rId1"/>
  <ignoredErrors>
    <ignoredError sqref="L23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r:id="rId4" name="Check Box 2">
              <controlPr locked="0" defaultSize="0" autoFill="0" autoLine="0" autoPict="0" altText="Ionenbilanz nach DIN 38402-62">
                <anchor moveWithCells="1">
                  <from>
                    <xdr:col>7</xdr:col>
                    <xdr:colOff>904875</xdr:colOff>
                    <xdr:row>1</xdr:row>
                    <xdr:rowOff>47625</xdr:rowOff>
                  </from>
                  <to>
                    <xdr:col>9</xdr:col>
                    <xdr:colOff>857250</xdr:colOff>
                    <xdr:row>1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1A6E2-1EAD-4E97-BB2F-FC66A6893DF0}">
  <sheetPr codeName="Tabelle5"/>
  <dimension ref="A1:T30"/>
  <sheetViews>
    <sheetView showGridLines="0" zoomScaleNormal="100" workbookViewId="0">
      <selection activeCell="AB24" sqref="AB24"/>
    </sheetView>
  </sheetViews>
  <sheetFormatPr baseColWidth="10" defaultRowHeight="15" x14ac:dyDescent="0.25"/>
  <cols>
    <col min="1" max="1" width="3.42578125" customWidth="1"/>
    <col min="2" max="2" width="4.140625" bestFit="1" customWidth="1"/>
    <col min="3" max="3" width="9.140625" bestFit="1" customWidth="1"/>
    <col min="4" max="4" width="1.5703125" style="119" customWidth="1"/>
    <col min="5" max="5" width="9" style="114" customWidth="1"/>
    <col min="6" max="6" width="0.85546875" style="121" customWidth="1"/>
    <col min="7" max="7" width="9.5703125" customWidth="1"/>
    <col min="8" max="8" width="8" customWidth="1"/>
    <col min="9" max="9" width="9.140625" bestFit="1" customWidth="1"/>
    <col min="10" max="10" width="1.140625" style="121" customWidth="1"/>
    <col min="11" max="11" width="12" style="114" bestFit="1" customWidth="1"/>
    <col min="12" max="12" width="1" style="121" customWidth="1"/>
    <col min="13" max="13" width="9.140625" bestFit="1" customWidth="1"/>
    <col min="14" max="14" width="4.5703125" customWidth="1"/>
    <col min="15" max="15" width="11.140625" customWidth="1"/>
    <col min="16" max="16" width="1" style="121" customWidth="1"/>
  </cols>
  <sheetData>
    <row r="1" spans="1:20" ht="3" customHeight="1" x14ac:dyDescent="0.25"/>
    <row r="2" spans="1:20" ht="20.25" customHeight="1" x14ac:dyDescent="0.35">
      <c r="A2" s="315" t="s">
        <v>127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5"/>
      <c r="S2" s="295"/>
      <c r="T2" s="295"/>
    </row>
    <row r="3" spans="1:20" x14ac:dyDescent="0.25">
      <c r="A3" s="159" t="s">
        <v>128</v>
      </c>
      <c r="D3"/>
      <c r="E3"/>
      <c r="F3"/>
      <c r="H3" s="159">
        <f>O7</f>
        <v>34.5</v>
      </c>
      <c r="J3"/>
      <c r="K3"/>
      <c r="L3"/>
      <c r="P3"/>
    </row>
    <row r="4" spans="1:20" ht="11.25" customHeight="1" x14ac:dyDescent="0.35">
      <c r="A4" s="102"/>
    </row>
    <row r="5" spans="1:20" x14ac:dyDescent="0.25">
      <c r="C5" s="312" t="s">
        <v>113</v>
      </c>
      <c r="D5" s="312"/>
      <c r="E5" s="312"/>
      <c r="F5" s="312"/>
      <c r="G5" s="312"/>
      <c r="I5" s="313" t="s">
        <v>113</v>
      </c>
      <c r="J5" s="313"/>
      <c r="K5" s="313"/>
      <c r="L5" s="313"/>
      <c r="M5" s="313"/>
      <c r="O5" s="314" t="s">
        <v>117</v>
      </c>
    </row>
    <row r="6" spans="1:20" ht="30" x14ac:dyDescent="0.25">
      <c r="C6" s="112" t="s">
        <v>105</v>
      </c>
      <c r="D6" s="120"/>
      <c r="E6" s="117" t="s">
        <v>114</v>
      </c>
      <c r="F6" s="110"/>
      <c r="G6" s="113" t="s">
        <v>106</v>
      </c>
      <c r="I6" s="112" t="s">
        <v>105</v>
      </c>
      <c r="J6" s="110"/>
      <c r="K6" s="115" t="s">
        <v>115</v>
      </c>
      <c r="L6" s="110"/>
      <c r="M6" s="113" t="s">
        <v>106</v>
      </c>
      <c r="O6" s="314"/>
    </row>
    <row r="7" spans="1:20" x14ac:dyDescent="0.25">
      <c r="B7" s="124" t="s">
        <v>107</v>
      </c>
      <c r="C7" s="103">
        <v>34</v>
      </c>
      <c r="D7" s="265">
        <f>-(E7-C7)/E7</f>
        <v>-2.8571428571428571E-2</v>
      </c>
      <c r="E7" s="122">
        <v>35</v>
      </c>
      <c r="F7" s="111">
        <f>-(E7-G7)/E7</f>
        <v>2.8571428571428571E-2</v>
      </c>
      <c r="G7" s="108">
        <v>36</v>
      </c>
      <c r="I7" s="104">
        <f>K7-1</f>
        <v>33.5</v>
      </c>
      <c r="J7" s="106">
        <f>-(K7-I7)/K7</f>
        <v>-2.8985507246376812E-2</v>
      </c>
      <c r="K7" s="123">
        <f>Messergebnisse!D6</f>
        <v>34.5</v>
      </c>
      <c r="L7" s="111">
        <f>-(K7-M7)/K7</f>
        <v>2.8985507246376812E-2</v>
      </c>
      <c r="M7" s="109">
        <f>K7+1</f>
        <v>35.5</v>
      </c>
      <c r="O7" s="211">
        <f>K7</f>
        <v>34.5</v>
      </c>
      <c r="P7" s="105">
        <f>1-K7/O7</f>
        <v>0</v>
      </c>
    </row>
    <row r="8" spans="1:20" x14ac:dyDescent="0.25">
      <c r="B8" s="124" t="s">
        <v>0</v>
      </c>
      <c r="C8" s="104">
        <v>10400</v>
      </c>
      <c r="D8" s="265">
        <f t="shared" ref="D8:D18" si="0">-(E8-C8)/E8</f>
        <v>-5.7586878709618955E-2</v>
      </c>
      <c r="E8" s="118">
        <v>11035.5</v>
      </c>
      <c r="F8" s="111">
        <f>-(E8-G8)/E8</f>
        <v>2.8498935254406235E-2</v>
      </c>
      <c r="G8" s="109">
        <v>11350</v>
      </c>
      <c r="I8" s="104">
        <f>C8*K7/E7</f>
        <v>10251.428571428571</v>
      </c>
      <c r="J8" s="106">
        <f>-(K8-I8)/K8</f>
        <v>-5.7586878709619059E-2</v>
      </c>
      <c r="K8" s="116">
        <f>E8*$K$7/$E$7</f>
        <v>10877.85</v>
      </c>
      <c r="L8" s="111">
        <f>-(K8-M8)/K8</f>
        <v>2.8498935254406225E-2</v>
      </c>
      <c r="M8" s="109">
        <f>G8*K7/E7</f>
        <v>11187.857142857143</v>
      </c>
      <c r="O8" s="212">
        <f>Messergebnisse!D10</f>
        <v>10878</v>
      </c>
      <c r="P8" s="105">
        <f>1-K8/O8</f>
        <v>1.3789299503574881E-5</v>
      </c>
    </row>
    <row r="9" spans="1:20" x14ac:dyDescent="0.25">
      <c r="B9" s="124" t="s">
        <v>8</v>
      </c>
      <c r="C9" s="104">
        <v>19000</v>
      </c>
      <c r="D9" s="265">
        <f t="shared" si="0"/>
        <v>-4.0626925057814782E-2</v>
      </c>
      <c r="E9" s="118">
        <v>19804.599999999999</v>
      </c>
      <c r="F9" s="111">
        <f t="shared" ref="F9:F18" si="1">-(E9-G9)/E9</f>
        <v>9.8663946759844409E-3</v>
      </c>
      <c r="G9" s="109">
        <v>20000</v>
      </c>
      <c r="I9" s="104">
        <f t="shared" ref="I9:I17" si="2">C9*K8/E8</f>
        <v>18728.571428571428</v>
      </c>
      <c r="J9" s="106">
        <f>-(K9-I9)/K9</f>
        <v>-4.0626925057814817E-2</v>
      </c>
      <c r="K9" s="116">
        <f t="shared" ref="K9:K17" si="3">E9*$K$7/$E$7</f>
        <v>19521.677142857141</v>
      </c>
      <c r="L9" s="111">
        <f>-(K9-M9)/K9</f>
        <v>9.8663946759844356E-3</v>
      </c>
      <c r="M9" s="109">
        <f t="shared" ref="M9:M17" si="4">G9*K8/E8</f>
        <v>19714.285714285714</v>
      </c>
      <c r="O9" s="212">
        <f>Messergebnisse!D11</f>
        <v>19596</v>
      </c>
      <c r="P9" s="105">
        <f t="shared" ref="P9:P17" si="5">1-K9/O9</f>
        <v>3.7927565392354978E-3</v>
      </c>
    </row>
    <row r="10" spans="1:20" x14ac:dyDescent="0.25">
      <c r="B10" s="124" t="s">
        <v>110</v>
      </c>
      <c r="C10" s="104">
        <v>850</v>
      </c>
      <c r="D10" s="265">
        <f>-(E10-C10)/E10</f>
        <v>-7.6086956521739135E-2</v>
      </c>
      <c r="E10" s="118">
        <v>920</v>
      </c>
      <c r="F10" s="111">
        <f>-(E10-G10)/E10</f>
        <v>3.2608695652173912E-2</v>
      </c>
      <c r="G10" s="109">
        <v>950</v>
      </c>
      <c r="I10" s="104">
        <f t="shared" si="2"/>
        <v>837.85714285714278</v>
      </c>
      <c r="J10" s="106">
        <f>-(K10-I10)/K10</f>
        <v>-7.6086956521739246E-2</v>
      </c>
      <c r="K10" s="116">
        <f t="shared" si="3"/>
        <v>906.85714285714289</v>
      </c>
      <c r="L10" s="111">
        <f>-(K10-M10)/K10</f>
        <v>3.2608695652173891E-2</v>
      </c>
      <c r="M10" s="109">
        <f t="shared" si="4"/>
        <v>936.42857142857144</v>
      </c>
      <c r="O10" s="211">
        <f>Messergebnisse!D13</f>
        <v>921</v>
      </c>
      <c r="P10" s="105">
        <f t="shared" si="5"/>
        <v>1.5355979525360608E-2</v>
      </c>
    </row>
    <row r="11" spans="1:20" x14ac:dyDescent="0.25">
      <c r="B11" s="124" t="s">
        <v>2</v>
      </c>
      <c r="C11" s="104">
        <v>1200</v>
      </c>
      <c r="D11" s="265">
        <f t="shared" si="0"/>
        <v>-8.654944051153235E-2</v>
      </c>
      <c r="E11" s="118">
        <v>1313.7</v>
      </c>
      <c r="F11" s="111">
        <f t="shared" si="1"/>
        <v>0.10375275938189842</v>
      </c>
      <c r="G11" s="109">
        <v>1450</v>
      </c>
      <c r="I11" s="104">
        <f t="shared" si="2"/>
        <v>1182.8571428571429</v>
      </c>
      <c r="J11" s="106">
        <f t="shared" ref="J11:J17" si="6">-(K11-I11)/K11</f>
        <v>-8.6549440511532238E-2</v>
      </c>
      <c r="K11" s="116">
        <f t="shared" si="3"/>
        <v>1294.9328571428571</v>
      </c>
      <c r="L11" s="111">
        <f t="shared" ref="L11:L17" si="7">-(K11-M11)/K11</f>
        <v>0.10375275938189864</v>
      </c>
      <c r="M11" s="109">
        <f t="shared" si="4"/>
        <v>1429.2857142857144</v>
      </c>
      <c r="O11" s="211">
        <f>Messergebnisse!D12</f>
        <v>1375</v>
      </c>
      <c r="P11" s="105">
        <f t="shared" si="5"/>
        <v>5.8230649350649366E-2</v>
      </c>
    </row>
    <row r="12" spans="1:20" x14ac:dyDescent="0.25">
      <c r="B12" s="124" t="s">
        <v>1</v>
      </c>
      <c r="C12" s="104">
        <v>400</v>
      </c>
      <c r="D12" s="265">
        <f t="shared" si="0"/>
        <v>-5.1458382736542539E-2</v>
      </c>
      <c r="E12" s="118">
        <v>421.7</v>
      </c>
      <c r="F12" s="111">
        <f t="shared" si="1"/>
        <v>5.5252549205596427E-2</v>
      </c>
      <c r="G12" s="109">
        <v>445</v>
      </c>
      <c r="I12" s="104">
        <f t="shared" si="2"/>
        <v>394.28571428571428</v>
      </c>
      <c r="J12" s="106">
        <f t="shared" si="6"/>
        <v>-5.1458382736542532E-2</v>
      </c>
      <c r="K12" s="116">
        <f t="shared" si="3"/>
        <v>415.67571428571426</v>
      </c>
      <c r="L12" s="111">
        <f t="shared" si="7"/>
        <v>5.5252549205596371E-2</v>
      </c>
      <c r="M12" s="109">
        <f t="shared" si="4"/>
        <v>438.64285714285711</v>
      </c>
      <c r="O12" s="211">
        <f>Messergebnisse!D14</f>
        <v>424</v>
      </c>
      <c r="P12" s="105">
        <f t="shared" si="5"/>
        <v>1.963274932614556E-2</v>
      </c>
    </row>
    <row r="13" spans="1:20" x14ac:dyDescent="0.25">
      <c r="B13" s="124" t="s">
        <v>9</v>
      </c>
      <c r="C13" s="104">
        <v>385</v>
      </c>
      <c r="D13" s="265">
        <f t="shared" si="0"/>
        <v>-5.7296767874632663E-2</v>
      </c>
      <c r="E13" s="118">
        <v>408.4</v>
      </c>
      <c r="F13" s="111">
        <f t="shared" si="1"/>
        <v>2.8403525954946187E-2</v>
      </c>
      <c r="G13" s="109">
        <v>420</v>
      </c>
      <c r="I13" s="104">
        <f t="shared" si="2"/>
        <v>379.5</v>
      </c>
      <c r="J13" s="106">
        <f t="shared" si="6"/>
        <v>-5.7296767874632629E-2</v>
      </c>
      <c r="K13" s="116">
        <f t="shared" si="3"/>
        <v>402.56571428571425</v>
      </c>
      <c r="L13" s="111">
        <f t="shared" si="7"/>
        <v>2.8403525954946222E-2</v>
      </c>
      <c r="M13" s="109">
        <f t="shared" si="4"/>
        <v>414</v>
      </c>
      <c r="O13" s="211">
        <f>Messergebnisse!D15</f>
        <v>380</v>
      </c>
      <c r="P13" s="105">
        <f t="shared" si="5"/>
        <v>-5.9383458646616427E-2</v>
      </c>
    </row>
    <row r="14" spans="1:20" x14ac:dyDescent="0.25">
      <c r="B14" s="124" t="s">
        <v>5</v>
      </c>
      <c r="C14" s="104">
        <v>55</v>
      </c>
      <c r="D14" s="265">
        <f t="shared" si="0"/>
        <v>-0.20058139534883718</v>
      </c>
      <c r="E14" s="118">
        <v>68.8</v>
      </c>
      <c r="F14" s="111">
        <f t="shared" si="1"/>
        <v>0.16279069767441864</v>
      </c>
      <c r="G14" s="109">
        <v>80</v>
      </c>
      <c r="I14" s="104">
        <f t="shared" si="2"/>
        <v>54.214285714285715</v>
      </c>
      <c r="J14" s="106">
        <f t="shared" si="6"/>
        <v>-0.20058139534883718</v>
      </c>
      <c r="K14" s="116">
        <f t="shared" si="3"/>
        <v>67.817142857142855</v>
      </c>
      <c r="L14" s="111">
        <f t="shared" si="7"/>
        <v>0.16279069767441851</v>
      </c>
      <c r="M14" s="109">
        <f t="shared" si="4"/>
        <v>78.857142857142847</v>
      </c>
      <c r="O14" s="211">
        <f>Messergebnisse!D16</f>
        <v>70.2</v>
      </c>
      <c r="P14" s="105">
        <f t="shared" si="5"/>
        <v>3.3943833943834045E-2</v>
      </c>
    </row>
    <row r="15" spans="1:20" x14ac:dyDescent="0.25">
      <c r="B15" s="124" t="s">
        <v>3</v>
      </c>
      <c r="C15" s="104">
        <v>7</v>
      </c>
      <c r="D15" s="265">
        <f t="shared" si="0"/>
        <v>-0.13580246913580243</v>
      </c>
      <c r="E15" s="118">
        <v>8.1</v>
      </c>
      <c r="F15" s="111">
        <f>-(E15-G15)/E15</f>
        <v>0.11111111111111116</v>
      </c>
      <c r="G15" s="109">
        <v>9</v>
      </c>
      <c r="I15" s="104">
        <f t="shared" si="2"/>
        <v>6.8999999999999995</v>
      </c>
      <c r="J15" s="107">
        <f t="shared" si="6"/>
        <v>-0.13580246913580252</v>
      </c>
      <c r="K15" s="116">
        <f t="shared" si="3"/>
        <v>7.984285714285714</v>
      </c>
      <c r="L15" s="111">
        <f>-(K15-M15)/K15</f>
        <v>0.11111111111111099</v>
      </c>
      <c r="M15" s="109">
        <f t="shared" si="4"/>
        <v>8.8714285714285701</v>
      </c>
      <c r="O15" s="211">
        <f>Messergebnisse!D17</f>
        <v>8.09</v>
      </c>
      <c r="P15" s="105">
        <f t="shared" si="5"/>
        <v>1.3067278827476603E-2</v>
      </c>
    </row>
    <row r="16" spans="1:20" x14ac:dyDescent="0.25">
      <c r="B16" s="124" t="s">
        <v>4</v>
      </c>
      <c r="C16" s="104">
        <v>3.8</v>
      </c>
      <c r="D16" s="265">
        <f t="shared" si="0"/>
        <v>-0.16114790286975725</v>
      </c>
      <c r="E16" s="118">
        <v>4.53</v>
      </c>
      <c r="F16" s="111">
        <f t="shared" si="1"/>
        <v>0.30242825607064017</v>
      </c>
      <c r="G16" s="109">
        <v>5.9</v>
      </c>
      <c r="I16" s="104">
        <f t="shared" si="2"/>
        <v>3.7457142857142856</v>
      </c>
      <c r="J16" s="107">
        <f t="shared" si="6"/>
        <v>-0.16114790286975714</v>
      </c>
      <c r="K16" s="116">
        <f t="shared" si="3"/>
        <v>4.4652857142857139</v>
      </c>
      <c r="L16" s="111">
        <f t="shared" si="7"/>
        <v>0.30242825607064033</v>
      </c>
      <c r="M16" s="109">
        <f t="shared" si="4"/>
        <v>5.8157142857142858</v>
      </c>
      <c r="O16" s="211">
        <f>Messergebnisse!D18</f>
        <v>4.7</v>
      </c>
      <c r="P16" s="105">
        <f t="shared" si="5"/>
        <v>4.9939209726443945E-2</v>
      </c>
    </row>
    <row r="17" spans="2:16" x14ac:dyDescent="0.25">
      <c r="B17" s="124" t="s">
        <v>10</v>
      </c>
      <c r="C17" s="104">
        <v>0.8</v>
      </c>
      <c r="D17" s="265">
        <f t="shared" si="0"/>
        <v>-0.38461538461538458</v>
      </c>
      <c r="E17" s="118">
        <v>1.3</v>
      </c>
      <c r="F17" s="111">
        <f t="shared" si="1"/>
        <v>0.23076923076923078</v>
      </c>
      <c r="G17" s="109">
        <v>1.6</v>
      </c>
      <c r="I17" s="104">
        <f t="shared" si="2"/>
        <v>0.78857142857142848</v>
      </c>
      <c r="J17" s="107">
        <f t="shared" si="6"/>
        <v>-0.38461538461538464</v>
      </c>
      <c r="K17" s="116">
        <f t="shared" si="3"/>
        <v>1.2814285714285714</v>
      </c>
      <c r="L17" s="111">
        <f t="shared" si="7"/>
        <v>0.2307692307692307</v>
      </c>
      <c r="M17" s="109">
        <f t="shared" si="4"/>
        <v>1.577142857142857</v>
      </c>
      <c r="O17" s="211">
        <f>Messergebnisse!D19</f>
        <v>1.3</v>
      </c>
      <c r="P17" s="105">
        <f t="shared" si="5"/>
        <v>1.4285714285714346E-2</v>
      </c>
    </row>
    <row r="18" spans="2:16" x14ac:dyDescent="0.25">
      <c r="B18" s="262" t="s">
        <v>210</v>
      </c>
      <c r="C18" s="7">
        <f>E18</f>
        <v>7.3</v>
      </c>
      <c r="D18" s="266">
        <f t="shared" si="0"/>
        <v>0</v>
      </c>
      <c r="E18" s="264">
        <v>7.3</v>
      </c>
      <c r="F18" s="263">
        <f t="shared" si="1"/>
        <v>0</v>
      </c>
      <c r="G18" s="7">
        <f>E18</f>
        <v>7.3</v>
      </c>
      <c r="I18" s="104">
        <f>E18</f>
        <v>7.3</v>
      </c>
      <c r="J18" s="107">
        <f t="shared" ref="J18" si="8">-(K18-I18)/K18</f>
        <v>0</v>
      </c>
      <c r="K18" s="116">
        <f>E18</f>
        <v>7.3</v>
      </c>
      <c r="L18" s="111">
        <f t="shared" ref="L18" si="9">-(K18-M18)/K18</f>
        <v>0</v>
      </c>
      <c r="M18" s="109">
        <f>E18</f>
        <v>7.3</v>
      </c>
      <c r="O18" s="211">
        <f>Messergebnisse!D7</f>
        <v>6.5</v>
      </c>
      <c r="P18" s="105"/>
    </row>
    <row r="21" spans="2:16" ht="15.75" x14ac:dyDescent="0.25">
      <c r="B21" s="127" t="s">
        <v>129</v>
      </c>
      <c r="C21" s="128"/>
      <c r="D21" s="128"/>
      <c r="E21" s="129"/>
      <c r="F21" s="126"/>
      <c r="G21" s="126"/>
      <c r="K21" s="213" t="s">
        <v>129</v>
      </c>
      <c r="L21" s="214"/>
      <c r="M21" s="215"/>
      <c r="N21" s="142"/>
    </row>
    <row r="22" spans="2:16" x14ac:dyDescent="0.25">
      <c r="B22" s="143" t="s">
        <v>126</v>
      </c>
      <c r="C22" s="130"/>
      <c r="D22" s="131"/>
      <c r="E22" s="132"/>
      <c r="K22" s="216" t="s">
        <v>118</v>
      </c>
      <c r="L22" s="217"/>
      <c r="M22" s="218">
        <f>O7</f>
        <v>34.5</v>
      </c>
      <c r="N22" s="125"/>
    </row>
    <row r="23" spans="2:16" x14ac:dyDescent="0.25">
      <c r="B23" s="133" t="s">
        <v>119</v>
      </c>
      <c r="C23" s="134"/>
      <c r="D23" s="134"/>
      <c r="E23" s="135">
        <f>E11/E7</f>
        <v>37.534285714285716</v>
      </c>
      <c r="F23" s="114"/>
      <c r="G23" s="114"/>
      <c r="K23" s="219" t="s">
        <v>119</v>
      </c>
      <c r="L23" s="220"/>
      <c r="M23" s="221">
        <f>O11/O7</f>
        <v>39.855072463768117</v>
      </c>
      <c r="N23" s="125"/>
    </row>
    <row r="24" spans="2:16" x14ac:dyDescent="0.25">
      <c r="B24" s="133" t="s">
        <v>120</v>
      </c>
      <c r="C24" s="134"/>
      <c r="D24" s="134"/>
      <c r="E24" s="135">
        <f>E12/E7</f>
        <v>12.048571428571428</v>
      </c>
      <c r="F24" s="114"/>
      <c r="G24" s="114"/>
      <c r="K24" s="219" t="s">
        <v>120</v>
      </c>
      <c r="L24" s="220"/>
      <c r="M24" s="221">
        <f>O12/O7</f>
        <v>12.289855072463768</v>
      </c>
      <c r="N24" s="5"/>
    </row>
    <row r="25" spans="2:16" x14ac:dyDescent="0.25">
      <c r="B25" s="133" t="s">
        <v>121</v>
      </c>
      <c r="C25" s="134"/>
      <c r="D25" s="134"/>
      <c r="E25" s="135">
        <f>E13/E7</f>
        <v>11.668571428571427</v>
      </c>
      <c r="F25" s="114"/>
      <c r="G25" s="114"/>
      <c r="K25" s="219" t="s">
        <v>121</v>
      </c>
      <c r="L25" s="220"/>
      <c r="M25" s="221">
        <f>O13/O7</f>
        <v>11.014492753623188</v>
      </c>
      <c r="N25" s="5"/>
    </row>
    <row r="26" spans="2:16" x14ac:dyDescent="0.25">
      <c r="B26" s="136" t="s">
        <v>122</v>
      </c>
      <c r="C26" s="137"/>
      <c r="D26" s="137"/>
      <c r="E26" s="135">
        <f>E14/E7</f>
        <v>1.9657142857142855</v>
      </c>
      <c r="F26" s="114"/>
      <c r="G26" s="114"/>
      <c r="K26" s="222" t="s">
        <v>122</v>
      </c>
      <c r="L26" s="223"/>
      <c r="M26" s="221">
        <f>O14/O7</f>
        <v>2.0347826086956524</v>
      </c>
      <c r="N26" s="5"/>
    </row>
    <row r="27" spans="2:16" x14ac:dyDescent="0.25">
      <c r="B27" s="136" t="s">
        <v>123</v>
      </c>
      <c r="C27" s="137"/>
      <c r="D27" s="137"/>
      <c r="E27" s="138">
        <f>E15/E7</f>
        <v>0.23142857142857143</v>
      </c>
      <c r="F27" s="114"/>
      <c r="G27" s="114"/>
      <c r="K27" s="222" t="s">
        <v>123</v>
      </c>
      <c r="L27" s="223"/>
      <c r="M27" s="221">
        <f>O15/O7</f>
        <v>0.23449275362318839</v>
      </c>
      <c r="N27" s="5"/>
    </row>
    <row r="28" spans="2:16" x14ac:dyDescent="0.25">
      <c r="B28" s="136" t="s">
        <v>124</v>
      </c>
      <c r="C28" s="137"/>
      <c r="D28" s="137"/>
      <c r="E28" s="138">
        <f>E16/E7</f>
        <v>0.12942857142857145</v>
      </c>
      <c r="F28" s="114"/>
      <c r="G28" s="114"/>
      <c r="K28" s="222" t="s">
        <v>124</v>
      </c>
      <c r="L28" s="223"/>
      <c r="M28" s="221">
        <f>O16/O7</f>
        <v>0.13623188405797101</v>
      </c>
      <c r="N28" s="5"/>
    </row>
    <row r="29" spans="2:16" x14ac:dyDescent="0.25">
      <c r="B29" s="139" t="s">
        <v>125</v>
      </c>
      <c r="C29" s="140"/>
      <c r="D29" s="140"/>
      <c r="E29" s="141">
        <f>E17/E7</f>
        <v>3.7142857142857144E-2</v>
      </c>
      <c r="F29" s="114"/>
      <c r="G29" s="114"/>
      <c r="K29" s="224" t="s">
        <v>125</v>
      </c>
      <c r="L29" s="225"/>
      <c r="M29" s="226">
        <f>O17/O7</f>
        <v>3.7681159420289857E-2</v>
      </c>
      <c r="N29" s="5"/>
    </row>
    <row r="30" spans="2:16" x14ac:dyDescent="0.25">
      <c r="B30" s="114"/>
      <c r="C30" s="114"/>
      <c r="D30" s="125"/>
      <c r="F30" s="114"/>
      <c r="G30" s="114"/>
    </row>
  </sheetData>
  <sheetProtection algorithmName="SHA-512" hashValue="I6VQbl553RDHeY6SOkR/51c/X+ZkEgdDadwNzvv7+GepXHmvTNOhkd+IzOFvXK1y+4X/zioEQQpeOh/w5p8dIg==" saltValue="ShhxmGCOpJNi7J/0vMT9Rg==" spinCount="100000" sheet="1" objects="1" scenarios="1" selectLockedCells="1" selectUnlockedCells="1"/>
  <mergeCells count="4">
    <mergeCell ref="C5:G5"/>
    <mergeCell ref="I5:M5"/>
    <mergeCell ref="O5:O6"/>
    <mergeCell ref="A2:T2"/>
  </mergeCells>
  <phoneticPr fontId="33" type="noConversion"/>
  <conditionalFormatting sqref="M23">
    <cfRule type="iconSet" priority="9">
      <iconSet iconSet="3Arrows" reverse="1">
        <cfvo type="percent" val="0"/>
        <cfvo type="num" val="$E$23"/>
        <cfvo type="num" val="$E$23"/>
      </iconSet>
    </cfRule>
  </conditionalFormatting>
  <conditionalFormatting sqref="M24">
    <cfRule type="iconSet" priority="8">
      <iconSet iconSet="3Arrows" reverse="1">
        <cfvo type="percent" val="0"/>
        <cfvo type="num" val="$E$24"/>
        <cfvo type="num" val="$E$24"/>
      </iconSet>
    </cfRule>
  </conditionalFormatting>
  <conditionalFormatting sqref="M25">
    <cfRule type="iconSet" priority="5">
      <iconSet iconSet="3Arrows" reverse="1">
        <cfvo type="percent" val="0"/>
        <cfvo type="num" val="$E$25"/>
        <cfvo type="num" val="$E$25"/>
      </iconSet>
    </cfRule>
  </conditionalFormatting>
  <conditionalFormatting sqref="M26">
    <cfRule type="iconSet" priority="4">
      <iconSet iconSet="3Arrows" reverse="1">
        <cfvo type="percent" val="0"/>
        <cfvo type="num" val="$E$26"/>
        <cfvo type="num" val="$E$26"/>
      </iconSet>
    </cfRule>
  </conditionalFormatting>
  <conditionalFormatting sqref="M27">
    <cfRule type="iconSet" priority="3">
      <iconSet iconSet="3Arrows" reverse="1">
        <cfvo type="percent" val="0"/>
        <cfvo type="num" val="$E$27"/>
        <cfvo type="num" val="$E$27"/>
      </iconSet>
    </cfRule>
  </conditionalFormatting>
  <conditionalFormatting sqref="M28">
    <cfRule type="iconSet" priority="2">
      <iconSet iconSet="3Arrows" reverse="1">
        <cfvo type="percent" val="0"/>
        <cfvo type="num" val="$E$28"/>
        <cfvo type="num" val="$E$28"/>
      </iconSet>
    </cfRule>
  </conditionalFormatting>
  <conditionalFormatting sqref="N23">
    <cfRule type="iconSet" priority="11">
      <iconSet iconSet="3Arrows">
        <cfvo type="percent" val="0"/>
        <cfvo type="percent" val="33"/>
        <cfvo type="percent" val="67"/>
      </iconSet>
    </cfRule>
  </conditionalFormatting>
  <pageMargins left="0.7" right="0.7" top="0.78740157499999996" bottom="0.78740157499999996" header="0.3" footer="0.3"/>
  <pageSetup paperSize="9" orientation="landscape" r:id="rId1"/>
  <headerFooter>
    <oddHeader>&amp;C&amp;G</oddHeader>
  </headerFooter>
  <ignoredErrors>
    <ignoredError sqref="M26" formula="1"/>
  </ignoredErrors>
  <drawing r:id="rId2"/>
  <legacyDrawingHF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00000000-000E-0000-0300-000001000000}">
            <x14:iconSet iconSet="3Arrows" custom="1">
              <x14:cfvo type="percent">
                <xm:f>0</xm:f>
              </x14:cfvo>
              <x14:cfvo type="num">
                <xm:f>$E$29</xm:f>
              </x14:cfvo>
              <x14:cfvo type="num">
                <xm:f>$E$29</xm:f>
              </x14:cfvo>
              <x14:cfIcon iconSet="3Arrows" iconId="2"/>
              <x14:cfIcon iconSet="NoIcons" iconId="0"/>
              <x14:cfIcon iconSet="3Arrows" iconId="0"/>
            </x14:iconSet>
          </x14:cfRule>
          <xm:sqref>M29</xm:sqref>
        </x14:conditionalFormatting>
        <x14:conditionalFormatting xmlns:xm="http://schemas.microsoft.com/office/excel/2006/main">
          <x14:cfRule type="iconSet" priority="10" id="{8AE90372-7FF4-449F-B2D2-DE852A427548}">
            <x14:iconSet iconSet="3Arrows" custom="1">
              <x14:cfvo type="percent">
                <xm:f>0</xm:f>
              </x14:cfvo>
              <x14:cfvo type="num">
                <xm:f>$E$23</xm:f>
              </x14:cfvo>
              <x14:cfvo type="num">
                <xm:f>$E$23</xm:f>
              </x14:cfvo>
              <x14:cfIcon iconSet="3Arrows" iconId="0"/>
              <x14:cfIcon iconSet="3Arrows" iconId="0"/>
              <x14:cfIcon iconSet="3Arrows" iconId="2"/>
            </x14:iconSet>
          </x14:cfRule>
          <xm:sqref>N23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B625C-7840-43BA-8A77-EAEA6CD7CDAB}">
  <sheetPr codeName="Tabelle1"/>
  <dimension ref="B1:T27"/>
  <sheetViews>
    <sheetView showGridLines="0" zoomScale="110" zoomScaleNormal="110" workbookViewId="0">
      <selection activeCell="Q23" sqref="Q23"/>
    </sheetView>
  </sheetViews>
  <sheetFormatPr baseColWidth="10" defaultRowHeight="15" x14ac:dyDescent="0.25"/>
  <cols>
    <col min="1" max="1" width="2" customWidth="1"/>
    <col min="2" max="2" width="11.7109375" customWidth="1"/>
    <col min="3" max="3" width="21.7109375" customWidth="1"/>
    <col min="4" max="4" width="15.28515625" bestFit="1" customWidth="1"/>
    <col min="5" max="5" width="11.7109375" customWidth="1"/>
    <col min="6" max="6" width="9" customWidth="1"/>
    <col min="7" max="8" width="16" customWidth="1"/>
    <col min="9" max="9" width="2.28515625" customWidth="1"/>
    <col min="10" max="10" width="8.28515625" customWidth="1"/>
    <col min="11" max="11" width="11" customWidth="1"/>
    <col min="12" max="12" width="2.28515625" customWidth="1"/>
    <col min="13" max="13" width="8.28515625" customWidth="1"/>
    <col min="14" max="14" width="8.140625" customWidth="1"/>
    <col min="15" max="15" width="15.140625" customWidth="1"/>
    <col min="16" max="16" width="6" customWidth="1"/>
    <col min="17" max="17" width="9.7109375" customWidth="1"/>
    <col min="18" max="18" width="12.140625" customWidth="1"/>
    <col min="19" max="19" width="9.7109375" customWidth="1"/>
  </cols>
  <sheetData>
    <row r="1" spans="2:20" ht="20.25" customHeight="1" thickBot="1" x14ac:dyDescent="0.3"/>
    <row r="2" spans="2:20" ht="36.75" customHeight="1" thickBot="1" x14ac:dyDescent="0.35">
      <c r="B2" s="68" t="s">
        <v>162</v>
      </c>
      <c r="C2" s="153"/>
      <c r="D2" s="153"/>
      <c r="E2" s="154">
        <f>Messergebnisse!D6</f>
        <v>34.5</v>
      </c>
      <c r="R2" s="177" t="s">
        <v>115</v>
      </c>
      <c r="S2" s="180" t="s">
        <v>179</v>
      </c>
    </row>
    <row r="3" spans="2:20" ht="17.25" customHeight="1" thickBot="1" x14ac:dyDescent="0.3">
      <c r="P3" s="203" t="s">
        <v>107</v>
      </c>
      <c r="Q3" s="200">
        <f>Hauptelemente!O7+((J15+M15)/1.02335/1000)</f>
        <v>34.5420440709971</v>
      </c>
      <c r="R3" s="178">
        <f>Q3</f>
        <v>34.5420440709971</v>
      </c>
      <c r="S3" s="181"/>
    </row>
    <row r="4" spans="2:20" ht="15" customHeight="1" x14ac:dyDescent="0.25">
      <c r="B4" s="318" t="s">
        <v>165</v>
      </c>
      <c r="C4" s="318" t="s">
        <v>157</v>
      </c>
      <c r="D4" s="144" t="s">
        <v>131</v>
      </c>
      <c r="E4" s="320" t="s">
        <v>163</v>
      </c>
      <c r="F4" s="318" t="s">
        <v>164</v>
      </c>
      <c r="G4" s="318" t="s">
        <v>158</v>
      </c>
      <c r="H4" s="318" t="s">
        <v>159</v>
      </c>
      <c r="J4" s="318" t="s">
        <v>177</v>
      </c>
      <c r="K4" s="323" t="s">
        <v>178</v>
      </c>
      <c r="M4" s="318" t="s">
        <v>177</v>
      </c>
      <c r="N4" s="323" t="s">
        <v>178</v>
      </c>
      <c r="P4" s="204" t="s">
        <v>0</v>
      </c>
      <c r="Q4" s="201">
        <f>Hauptelemente!O8+M13+M12+M10+M7</f>
        <v>10878</v>
      </c>
      <c r="R4" s="178">
        <f>Hauptelemente!E8*$R$3/Hauptelemente!$E$7</f>
        <v>10891.106495585385</v>
      </c>
      <c r="S4" s="180">
        <f>R4-Q4</f>
        <v>13.106495585385346</v>
      </c>
    </row>
    <row r="5" spans="2:20" ht="15.75" thickBot="1" x14ac:dyDescent="0.3">
      <c r="B5" s="319"/>
      <c r="C5" s="319"/>
      <c r="D5" s="145" t="s">
        <v>132</v>
      </c>
      <c r="E5" s="321"/>
      <c r="F5" s="322"/>
      <c r="G5" s="322"/>
      <c r="H5" s="322"/>
      <c r="J5" s="322"/>
      <c r="K5" s="324" t="s">
        <v>178</v>
      </c>
      <c r="M5" s="322"/>
      <c r="N5" s="324" t="s">
        <v>178</v>
      </c>
      <c r="P5" s="204" t="s">
        <v>8</v>
      </c>
      <c r="Q5" s="201">
        <f>Hauptelemente!O9+M11+M9+M6</f>
        <v>19616.460085769166</v>
      </c>
      <c r="R5" s="178">
        <f>Hauptelemente!E9*$R$3/Hauptelemente!$E$7</f>
        <v>19545.467600241976</v>
      </c>
      <c r="S5" s="180">
        <f t="shared" ref="S5:S13" si="0">R5-Q5</f>
        <v>-70.992485527189274</v>
      </c>
    </row>
    <row r="6" spans="2:20" ht="30.75" thickBot="1" x14ac:dyDescent="0.3">
      <c r="B6" s="169" t="s">
        <v>20</v>
      </c>
      <c r="C6" s="146" t="s">
        <v>133</v>
      </c>
      <c r="D6" s="146" t="s">
        <v>134</v>
      </c>
      <c r="E6" s="151">
        <f>Messergebnisse!D12</f>
        <v>1375</v>
      </c>
      <c r="F6" s="149">
        <f>IF(IB!M11&lt;0,ABS(IB!M11),0)</f>
        <v>0</v>
      </c>
      <c r="G6" s="151">
        <f>Messergebnisse!$D$4*F6/Salze!H4</f>
        <v>0</v>
      </c>
      <c r="H6" s="155">
        <f>G6/1000</f>
        <v>0</v>
      </c>
      <c r="J6" s="170">
        <f>G6*Salze!H4/Messergebnisse!$D$4</f>
        <v>0</v>
      </c>
      <c r="K6" s="174" t="str">
        <f>B6</f>
        <v>Magnesium</v>
      </c>
      <c r="M6" s="170">
        <f>G6*Salze!L4/Messergebnisse!$D$4</f>
        <v>0</v>
      </c>
      <c r="N6" s="174" t="str">
        <f>Salze!J4</f>
        <v>Chlor</v>
      </c>
      <c r="P6" s="204" t="s">
        <v>2</v>
      </c>
      <c r="Q6" s="201">
        <f t="shared" ref="Q6:Q13" si="1">E6+J6</f>
        <v>1375</v>
      </c>
      <c r="R6" s="178">
        <f>Hauptelemente!E11*$R$3/Hauptelemente!$E$7</f>
        <v>1296.510951316254</v>
      </c>
      <c r="S6" s="180">
        <f t="shared" si="0"/>
        <v>-78.489048683745978</v>
      </c>
    </row>
    <row r="7" spans="2:20" ht="19.5" customHeight="1" thickBot="1" x14ac:dyDescent="0.3">
      <c r="B7" s="152" t="s">
        <v>109</v>
      </c>
      <c r="C7" s="146" t="s">
        <v>172</v>
      </c>
      <c r="D7" s="146" t="s">
        <v>171</v>
      </c>
      <c r="E7" s="151">
        <f>Messergebnisse!D13</f>
        <v>921</v>
      </c>
      <c r="F7" s="149">
        <f>IF(Hauptelemente!O10-Hauptelemente!K10&lt;0,ABS(Hauptelemente!O10-Hauptelemente!K10),0)</f>
        <v>0</v>
      </c>
      <c r="G7" s="151">
        <f>Messergebnisse!$D$4*F7/Salze!H6</f>
        <v>0</v>
      </c>
      <c r="H7" s="155">
        <f>G7/1000</f>
        <v>0</v>
      </c>
      <c r="J7" s="170">
        <f>G7*Salze!H6/Messergebnisse!$D$4</f>
        <v>0</v>
      </c>
      <c r="K7" s="174" t="str">
        <f t="shared" ref="K7:K13" si="2">B7</f>
        <v>Schwefel</v>
      </c>
      <c r="M7" s="170">
        <f>G7*Salze!L6/Messergebnisse!$D$4</f>
        <v>0</v>
      </c>
      <c r="N7" s="174" t="str">
        <f>Salze!J6</f>
        <v>Natrium</v>
      </c>
      <c r="P7" s="204" t="s">
        <v>110</v>
      </c>
      <c r="Q7" s="201">
        <f>E7+J7</f>
        <v>921</v>
      </c>
      <c r="R7" s="178">
        <f>Hauptelemente!E10*$R$3/Hauptelemente!$E$7</f>
        <v>907.9623012947809</v>
      </c>
      <c r="S7" s="180">
        <f t="shared" si="0"/>
        <v>-13.0376987052191</v>
      </c>
    </row>
    <row r="8" spans="2:20" ht="21" customHeight="1" thickBot="1" x14ac:dyDescent="0.3">
      <c r="B8" s="152" t="s">
        <v>19</v>
      </c>
      <c r="C8" s="146" t="s">
        <v>137</v>
      </c>
      <c r="D8" s="146" t="s">
        <v>138</v>
      </c>
      <c r="E8" s="151">
        <f>Messergebnisse!D14</f>
        <v>424</v>
      </c>
      <c r="F8" s="149">
        <f>IF(IB!M12&lt;0,ABS(IB!M12),0)</f>
        <v>0</v>
      </c>
      <c r="G8" s="151">
        <f>Messergebnisse!$D$4*F8/Salze!H7</f>
        <v>0</v>
      </c>
      <c r="H8" s="155">
        <f t="shared" ref="H8:H13" si="3">G8/1000</f>
        <v>0</v>
      </c>
      <c r="J8" s="170">
        <f>G8*Salze!H7/Messergebnisse!$D$4</f>
        <v>0</v>
      </c>
      <c r="K8" s="174" t="str">
        <f t="shared" si="2"/>
        <v>Calcium</v>
      </c>
      <c r="M8" s="170">
        <f>G8*Salze!L7/Messergebnisse!$D$4</f>
        <v>0</v>
      </c>
      <c r="N8" s="174" t="str">
        <f>Salze!J7</f>
        <v>Chlor</v>
      </c>
      <c r="P8" s="204" t="s">
        <v>1</v>
      </c>
      <c r="Q8" s="201">
        <f t="shared" si="1"/>
        <v>424</v>
      </c>
      <c r="R8" s="178">
        <f>Hauptelemente!E12*$R$3/Hauptelemente!$E$7</f>
        <v>416.18228527827074</v>
      </c>
      <c r="S8" s="180">
        <f t="shared" si="0"/>
        <v>-7.81771472172926</v>
      </c>
    </row>
    <row r="9" spans="2:20" ht="15.75" thickBot="1" x14ac:dyDescent="0.3">
      <c r="B9" s="169" t="s">
        <v>18</v>
      </c>
      <c r="C9" s="146" t="s">
        <v>139</v>
      </c>
      <c r="D9" s="146" t="s">
        <v>140</v>
      </c>
      <c r="E9" s="151">
        <f>Messergebnisse!D15</f>
        <v>380</v>
      </c>
      <c r="F9" s="149">
        <f>IF(IB!M13&lt;0,ABS(IB!M13),0)</f>
        <v>22.56571428571425</v>
      </c>
      <c r="G9" s="151">
        <f>Messergebnisse!$D$4*F9/Salze!H8</f>
        <v>30122.786924239623</v>
      </c>
      <c r="H9" s="155">
        <f t="shared" si="3"/>
        <v>30.122786924239623</v>
      </c>
      <c r="J9" s="170">
        <f>G9*Salze!H8/Messergebnisse!$D$4</f>
        <v>22.56571428571425</v>
      </c>
      <c r="K9" s="174" t="str">
        <f t="shared" si="2"/>
        <v>Kalium</v>
      </c>
      <c r="M9" s="170">
        <f>G9*Salze!L8/Messergebnisse!$D$4</f>
        <v>20.460085769165673</v>
      </c>
      <c r="N9" s="174" t="str">
        <f>Salze!J8</f>
        <v>Chlor</v>
      </c>
      <c r="P9" s="204" t="s">
        <v>9</v>
      </c>
      <c r="Q9" s="201">
        <f t="shared" si="1"/>
        <v>402.56571428571425</v>
      </c>
      <c r="R9" s="178">
        <f>Hauptelemente!E13*$R$3/Hauptelemente!$E$7</f>
        <v>403.05630853129185</v>
      </c>
      <c r="S9" s="180">
        <f t="shared" si="0"/>
        <v>0.49059424557759712</v>
      </c>
    </row>
    <row r="10" spans="2:20" ht="18" customHeight="1" thickBot="1" x14ac:dyDescent="0.3">
      <c r="B10" s="156" t="s">
        <v>145</v>
      </c>
      <c r="C10" s="146" t="s">
        <v>146</v>
      </c>
      <c r="D10" s="146" t="s">
        <v>147</v>
      </c>
      <c r="E10" s="151">
        <f>Messergebnisse!D16</f>
        <v>70.2</v>
      </c>
      <c r="F10" s="149">
        <f>IF(IB!M22&lt;0,ABS(IB!M22),0)</f>
        <v>0</v>
      </c>
      <c r="G10" s="151">
        <f>Messergebnisse!$D$4*F10/Salze!H11</f>
        <v>0</v>
      </c>
      <c r="H10" s="155">
        <f t="shared" si="3"/>
        <v>0</v>
      </c>
      <c r="J10" s="170">
        <f>G10*Salze!H11/Messergebnisse!$D$4</f>
        <v>0</v>
      </c>
      <c r="K10" s="174" t="str">
        <f t="shared" si="2"/>
        <v xml:space="preserve">Brom </v>
      </c>
      <c r="M10" s="170">
        <f>G10*Salze!L11/Messergebnisse!$D$4</f>
        <v>0</v>
      </c>
      <c r="N10" s="174" t="str">
        <f>Salze!J11</f>
        <v>Natrium</v>
      </c>
      <c r="P10" s="204" t="s">
        <v>5</v>
      </c>
      <c r="Q10" s="201">
        <f t="shared" si="1"/>
        <v>70.2</v>
      </c>
      <c r="R10" s="178">
        <f>Hauptelemente!E14*$R$3/Hauptelemente!$E$7</f>
        <v>67.899789488131432</v>
      </c>
      <c r="S10" s="180">
        <f t="shared" si="0"/>
        <v>-2.3002105118685705</v>
      </c>
    </row>
    <row r="11" spans="2:20" ht="30.75" thickBot="1" x14ac:dyDescent="0.3">
      <c r="B11" s="169" t="s">
        <v>21</v>
      </c>
      <c r="C11" s="146" t="s">
        <v>143</v>
      </c>
      <c r="D11" s="146" t="s">
        <v>144</v>
      </c>
      <c r="E11" s="151">
        <f>Messergebnisse!D17</f>
        <v>8.09</v>
      </c>
      <c r="F11" s="149">
        <f>IF(IB!M14&lt;0,ABS(IB!M14),0)</f>
        <v>0</v>
      </c>
      <c r="G11" s="151">
        <f>Messergebnisse!$D$4*F11/Salze!H10</f>
        <v>0</v>
      </c>
      <c r="H11" s="155">
        <f>G11/1000</f>
        <v>0</v>
      </c>
      <c r="J11" s="170">
        <f>G11*Salze!H10/Messergebnisse!$D$4</f>
        <v>0</v>
      </c>
      <c r="K11" s="174" t="str">
        <f>B11</f>
        <v>Strontium</v>
      </c>
      <c r="M11" s="170">
        <f>G11*Salze!L10/Messergebnisse!$D$4</f>
        <v>0</v>
      </c>
      <c r="N11" s="174" t="str">
        <f>Salze!J10</f>
        <v>Chlor</v>
      </c>
      <c r="P11" s="204" t="s">
        <v>3</v>
      </c>
      <c r="Q11" s="201">
        <f t="shared" si="1"/>
        <v>8.09</v>
      </c>
      <c r="R11" s="178">
        <f>Hauptelemente!E15*$R$3/Hauptelemente!$E$7</f>
        <v>7.9940159135736151</v>
      </c>
      <c r="S11" s="180">
        <f t="shared" si="0"/>
        <v>-9.5984086426384785E-2</v>
      </c>
      <c r="T11" s="4"/>
    </row>
    <row r="12" spans="2:20" ht="30.75" thickBot="1" x14ac:dyDescent="0.3">
      <c r="B12" s="156" t="s">
        <v>24</v>
      </c>
      <c r="C12" s="146" t="s">
        <v>150</v>
      </c>
      <c r="D12" s="146" t="s">
        <v>151</v>
      </c>
      <c r="E12" s="151">
        <f>Messergebnisse!D18</f>
        <v>4.7</v>
      </c>
      <c r="F12" s="149">
        <f>IF(IB!M24&lt;0,ABS(IB!M24),0)</f>
        <v>0</v>
      </c>
      <c r="G12" s="151">
        <f>Messergebnisse!$D$4*F12/Salze!H13</f>
        <v>0</v>
      </c>
      <c r="H12" s="155">
        <f t="shared" si="3"/>
        <v>0</v>
      </c>
      <c r="J12" s="170">
        <f>G12*Salze!H13/Messergebnisse!$D$4</f>
        <v>0</v>
      </c>
      <c r="K12" s="174" t="str">
        <f t="shared" si="2"/>
        <v>Bor</v>
      </c>
      <c r="M12" s="170">
        <f>G12*Salze!L13/Messergebnisse!$D$4</f>
        <v>0</v>
      </c>
      <c r="N12" s="174" t="str">
        <f>Salze!J13</f>
        <v>Natrium</v>
      </c>
      <c r="P12" s="204" t="s">
        <v>4</v>
      </c>
      <c r="Q12" s="201">
        <f t="shared" si="1"/>
        <v>4.7</v>
      </c>
      <c r="R12" s="178">
        <f>Hauptelemente!E16*$R$3/Hauptelemente!$E$7</f>
        <v>4.4707274183319106</v>
      </c>
      <c r="S12" s="180">
        <f t="shared" si="0"/>
        <v>-0.22927258166808961</v>
      </c>
    </row>
    <row r="13" spans="2:20" ht="13.5" customHeight="1" thickBot="1" x14ac:dyDescent="0.3">
      <c r="B13" s="169" t="s">
        <v>152</v>
      </c>
      <c r="C13" s="148" t="s">
        <v>153</v>
      </c>
      <c r="D13" s="148" t="s">
        <v>154</v>
      </c>
      <c r="E13" s="151">
        <f>Messergebnisse!D19</f>
        <v>1.3</v>
      </c>
      <c r="F13" s="149">
        <f>IF(IB!M25&lt;0,ABS(IB!M25),0)</f>
        <v>0</v>
      </c>
      <c r="G13" s="151">
        <f>Messergebnisse!$D$4*F13/Salze!H15</f>
        <v>0</v>
      </c>
      <c r="H13" s="155">
        <f t="shared" si="3"/>
        <v>0</v>
      </c>
      <c r="J13" s="170">
        <f>G13*Salze!H15/Messergebnisse!D4</f>
        <v>0</v>
      </c>
      <c r="K13" s="174" t="str">
        <f t="shared" si="2"/>
        <v>Fluor</v>
      </c>
      <c r="M13" s="170">
        <f>G13*Salze!L15/Messergebnisse!$D$4</f>
        <v>0</v>
      </c>
      <c r="N13" s="174" t="str">
        <f>Salze!J15</f>
        <v>Natrium</v>
      </c>
      <c r="P13" s="205" t="s">
        <v>10</v>
      </c>
      <c r="Q13" s="202">
        <f t="shared" si="1"/>
        <v>1.3</v>
      </c>
      <c r="R13" s="179">
        <f>Hauptelemente!E17*$R$3/Hauptelemente!$E$7</f>
        <v>1.2829902083513209</v>
      </c>
      <c r="S13" s="180">
        <f t="shared" si="0"/>
        <v>-1.7009791648679107E-2</v>
      </c>
    </row>
    <row r="14" spans="2:20" ht="6.75" customHeight="1" x14ac:dyDescent="0.25"/>
    <row r="15" spans="2:20" x14ac:dyDescent="0.25">
      <c r="J15" s="35">
        <f>SUM(J6:J13)</f>
        <v>22.56571428571425</v>
      </c>
      <c r="M15" s="35">
        <f>SUM(M6:M13)</f>
        <v>20.460085769165673</v>
      </c>
    </row>
    <row r="16" spans="2:20" x14ac:dyDescent="0.25">
      <c r="B16" s="2" t="s">
        <v>180</v>
      </c>
      <c r="J16" s="35"/>
      <c r="M16" s="35"/>
    </row>
    <row r="17" spans="2:20" ht="15.75" thickBot="1" x14ac:dyDescent="0.3"/>
    <row r="18" spans="2:20" x14ac:dyDescent="0.25">
      <c r="B18" s="318" t="s">
        <v>165</v>
      </c>
      <c r="C18" s="318" t="s">
        <v>157</v>
      </c>
      <c r="D18" s="144" t="s">
        <v>131</v>
      </c>
      <c r="E18" s="320" t="s">
        <v>163</v>
      </c>
      <c r="F18" s="318" t="s">
        <v>164</v>
      </c>
      <c r="G18" s="318" t="s">
        <v>158</v>
      </c>
      <c r="H18" s="318" t="s">
        <v>159</v>
      </c>
      <c r="J18" s="318" t="s">
        <v>177</v>
      </c>
      <c r="K18" s="323" t="s">
        <v>178</v>
      </c>
      <c r="M18" s="318" t="s">
        <v>177</v>
      </c>
      <c r="N18" s="323" t="s">
        <v>178</v>
      </c>
      <c r="P18" s="206"/>
      <c r="Q18" s="206"/>
      <c r="R18" s="207" t="s">
        <v>183</v>
      </c>
      <c r="S18" s="207" t="s">
        <v>184</v>
      </c>
    </row>
    <row r="19" spans="2:20" ht="15.75" thickBot="1" x14ac:dyDescent="0.3">
      <c r="B19" s="319"/>
      <c r="C19" s="319"/>
      <c r="D19" s="145" t="s">
        <v>132</v>
      </c>
      <c r="E19" s="321"/>
      <c r="F19" s="322"/>
      <c r="G19" s="322"/>
      <c r="H19" s="322"/>
      <c r="J19" s="322"/>
      <c r="K19" s="324" t="s">
        <v>178</v>
      </c>
      <c r="M19" s="322"/>
      <c r="N19" s="324" t="s">
        <v>178</v>
      </c>
      <c r="P19" s="208" t="s">
        <v>75</v>
      </c>
      <c r="Q19" s="208"/>
      <c r="R19" s="209">
        <f>Salze!N5</f>
        <v>0.25302526817242987</v>
      </c>
      <c r="S19" s="209">
        <f>Salze!N9</f>
        <v>0.81405948097808001</v>
      </c>
    </row>
    <row r="20" spans="2:20" ht="30.75" thickBot="1" x14ac:dyDescent="0.3">
      <c r="B20" s="191" t="s">
        <v>109</v>
      </c>
      <c r="C20" s="199" t="s">
        <v>135</v>
      </c>
      <c r="D20" s="192" t="s">
        <v>181</v>
      </c>
      <c r="E20" s="193">
        <f>Messergebnisse!D13</f>
        <v>921</v>
      </c>
      <c r="F20" s="194">
        <f>IF(Hauptelemente!O10-Hauptelemente!K10&lt;0,ABS(Hauptelemente!O10-Hauptelemente!K10),0)</f>
        <v>0</v>
      </c>
      <c r="G20" s="193">
        <f>Messergebnisse!$D$4*F20/Salze!L5</f>
        <v>0</v>
      </c>
      <c r="H20" s="195">
        <f>G20/1000</f>
        <v>0</v>
      </c>
      <c r="I20" s="114"/>
      <c r="J20" s="196">
        <f>G20*Salze!H5/Messergebnisse!$D$4</f>
        <v>0</v>
      </c>
      <c r="K20" s="197" t="str">
        <f>Salze!B4</f>
        <v>Magnesium</v>
      </c>
      <c r="L20" s="114"/>
      <c r="M20" s="196">
        <f>G20*Salze!L5/Messergebnisse!$D$4</f>
        <v>0</v>
      </c>
      <c r="N20" s="197" t="str">
        <f>B20</f>
        <v>Schwefel</v>
      </c>
      <c r="P20" s="316" t="s">
        <v>182</v>
      </c>
      <c r="Q20" s="317"/>
      <c r="R20" s="209">
        <f>IFERROR(F6/F7,0)</f>
        <v>0</v>
      </c>
      <c r="S20" s="209">
        <f>IFERROR(F9/F7,0)</f>
        <v>0</v>
      </c>
    </row>
    <row r="21" spans="2:20" ht="28.5" customHeight="1" thickBot="1" x14ac:dyDescent="0.3">
      <c r="B21" s="191" t="s">
        <v>20</v>
      </c>
      <c r="C21" s="199" t="s">
        <v>135</v>
      </c>
      <c r="D21" s="192" t="s">
        <v>181</v>
      </c>
      <c r="E21" s="193">
        <f>Messergebnisse!D12</f>
        <v>1375</v>
      </c>
      <c r="F21" s="194">
        <f>IF(IB!M11&lt;0,ABS(IB!M11),0)</f>
        <v>0</v>
      </c>
      <c r="G21" s="193">
        <f>IFERROR((Messergebnisse!$D$4*F7/Salze!L5)/(J20/F6),0)</f>
        <v>0</v>
      </c>
      <c r="H21" s="195">
        <f>G21/1000</f>
        <v>0</v>
      </c>
      <c r="I21" s="114"/>
      <c r="J21" s="196">
        <f>G21*Salze!H5/Messergebnisse!$D$4</f>
        <v>0</v>
      </c>
      <c r="K21" s="197" t="str">
        <f>Salze!B4</f>
        <v>Magnesium</v>
      </c>
      <c r="L21" s="114"/>
      <c r="M21" s="196">
        <f>G21*Salze!L5/Messergebnisse!$D$4</f>
        <v>0</v>
      </c>
      <c r="N21" s="197" t="str">
        <f>B20</f>
        <v>Schwefel</v>
      </c>
    </row>
    <row r="22" spans="2:20" ht="22.5" customHeight="1" thickBot="1" x14ac:dyDescent="0.3">
      <c r="B22" s="191" t="s">
        <v>109</v>
      </c>
      <c r="C22" s="192" t="s">
        <v>141</v>
      </c>
      <c r="D22" s="192" t="s">
        <v>186</v>
      </c>
      <c r="E22" s="193">
        <f>Messergebnisse!D13</f>
        <v>921</v>
      </c>
      <c r="F22" s="194">
        <f>IF(Hauptelemente!O10-Hauptelemente!K10&lt;0,ABS(Hauptelemente!O10-Hauptelemente!K10),0)</f>
        <v>0</v>
      </c>
      <c r="G22" s="193">
        <f>Messergebnisse!$D$4*F22/Salze!L9</f>
        <v>0</v>
      </c>
      <c r="H22" s="195">
        <f>G22/1000</f>
        <v>0</v>
      </c>
      <c r="I22" s="114"/>
      <c r="J22" s="196">
        <f>G22*Salze!H9/Messergebnisse!$D$4</f>
        <v>0</v>
      </c>
      <c r="K22" s="197" t="str">
        <f>Salze!B8</f>
        <v>Kalium</v>
      </c>
      <c r="L22" s="114"/>
      <c r="M22" s="196">
        <f>G22*Salze!L9/Messergebnisse!$D$4</f>
        <v>0</v>
      </c>
      <c r="N22" s="197" t="str">
        <f>B22</f>
        <v>Schwefel</v>
      </c>
    </row>
    <row r="23" spans="2:20" ht="30.75" thickBot="1" x14ac:dyDescent="0.3">
      <c r="B23" s="191" t="s">
        <v>18</v>
      </c>
      <c r="C23" s="192" t="s">
        <v>141</v>
      </c>
      <c r="D23" s="192" t="s">
        <v>186</v>
      </c>
      <c r="E23" s="193">
        <f>Messergebnisse!D15</f>
        <v>380</v>
      </c>
      <c r="F23" s="194">
        <f>IF(IB!M13&lt;0,ABS(IB!M13),0)</f>
        <v>22.56571428571425</v>
      </c>
      <c r="G23" s="193">
        <f>IFERROR((Messergebnisse!$D$4*F7/Salze!L9)/(J22/F9),0)</f>
        <v>0</v>
      </c>
      <c r="H23" s="195">
        <f>G23/1000</f>
        <v>0</v>
      </c>
      <c r="I23" s="114"/>
      <c r="J23" s="196">
        <f>G23*Salze!H9/Messergebnisse!$D$4</f>
        <v>0</v>
      </c>
      <c r="K23" s="197" t="str">
        <f>Salze!B8</f>
        <v>Kalium</v>
      </c>
      <c r="L23" s="114"/>
      <c r="M23" s="196">
        <f>G23*Salze!L9/Messergebnisse!$D$4</f>
        <v>0</v>
      </c>
      <c r="N23" s="197" t="str">
        <f>B22</f>
        <v>Schwefel</v>
      </c>
    </row>
    <row r="24" spans="2:20" ht="15.75" thickBot="1" x14ac:dyDescent="0.3"/>
    <row r="25" spans="2:20" x14ac:dyDescent="0.25">
      <c r="B25" s="318" t="s">
        <v>165</v>
      </c>
      <c r="C25" s="318" t="s">
        <v>157</v>
      </c>
      <c r="D25" s="144" t="s">
        <v>131</v>
      </c>
      <c r="E25" s="320" t="s">
        <v>213</v>
      </c>
      <c r="F25" s="318" t="s">
        <v>214</v>
      </c>
      <c r="G25" s="318" t="s">
        <v>158</v>
      </c>
      <c r="H25" s="318" t="s">
        <v>159</v>
      </c>
      <c r="J25" s="318" t="s">
        <v>177</v>
      </c>
      <c r="K25" s="323" t="s">
        <v>178</v>
      </c>
      <c r="M25" s="318" t="s">
        <v>177</v>
      </c>
      <c r="N25" s="323" t="s">
        <v>178</v>
      </c>
      <c r="R25" s="150"/>
    </row>
    <row r="26" spans="2:20" ht="15.75" thickBot="1" x14ac:dyDescent="0.3">
      <c r="B26" s="319"/>
      <c r="C26" s="319"/>
      <c r="D26" s="145" t="s">
        <v>132</v>
      </c>
      <c r="E26" s="321"/>
      <c r="F26" s="322"/>
      <c r="G26" s="322"/>
      <c r="H26" s="322"/>
      <c r="J26" s="322"/>
      <c r="K26" s="324" t="s">
        <v>178</v>
      </c>
      <c r="M26" s="322"/>
      <c r="N26" s="324" t="s">
        <v>178</v>
      </c>
      <c r="T26" s="198"/>
    </row>
    <row r="27" spans="2:20" ht="30.75" thickBot="1" x14ac:dyDescent="0.3">
      <c r="B27" s="169" t="s">
        <v>210</v>
      </c>
      <c r="C27" s="146" t="s">
        <v>211</v>
      </c>
      <c r="D27" s="146" t="s">
        <v>212</v>
      </c>
      <c r="E27" s="151">
        <f>Messergebnisse!D7</f>
        <v>6.5</v>
      </c>
      <c r="F27" s="149">
        <f>IF(IB!E5&lt;Hauptelemente!E18,Hauptelemente!E18-IB!E5,0)</f>
        <v>0.79999999999999982</v>
      </c>
      <c r="G27" s="151">
        <f>Messergebnisse!$D$4*F27*30.0023</f>
        <v>16801.287999999997</v>
      </c>
      <c r="H27" s="155">
        <f>G27/1000</f>
        <v>16.801287999999996</v>
      </c>
      <c r="J27" s="170">
        <f>G27*Salze!H17/Messergebnisse!$D$4</f>
        <v>17.433338224758529</v>
      </c>
      <c r="K27" s="174" t="s">
        <v>85</v>
      </c>
      <c r="M27" s="170">
        <f>G27*Salze!L17/Messergebnisse!$D$4</f>
        <v>6.5685589179897752</v>
      </c>
      <c r="N27" s="174" t="s">
        <v>17</v>
      </c>
    </row>
  </sheetData>
  <sheetProtection algorithmName="SHA-512" hashValue="XNwAh6lPj2D2PEHSrqBh7b/LkWMk89GELBKdU7k2T+jE9RhQccpKpK73/0CoBuumOeIzIBp9Nk/+uKuddykxUg==" saltValue="iVU8ylyzRQd2H0yoefCf9Q==" spinCount="100000" sheet="1" objects="1" scenarios="1" selectLockedCells="1" selectUnlockedCells="1"/>
  <protectedRanges>
    <protectedRange algorithmName="SHA-512" hashValue="jF/gZci0O+roeew+wU3rsQflWcprr/1wEfeY2O+zi33nXUn9pyEqRfNJgidQGAPjwJZ3E4hVVPCrzPQsHkY//A==" saltValue="2F7k5RNDewuDwH13hoCJFg==" spinCount="100000" sqref="D13 E6 E8:E13 E20:E23 E27" name="Bereich1"/>
  </protectedRanges>
  <mergeCells count="31">
    <mergeCell ref="H25:H26"/>
    <mergeCell ref="J25:J26"/>
    <mergeCell ref="K25:K26"/>
    <mergeCell ref="M25:M26"/>
    <mergeCell ref="N25:N26"/>
    <mergeCell ref="B25:B26"/>
    <mergeCell ref="C25:C26"/>
    <mergeCell ref="E25:E26"/>
    <mergeCell ref="F25:F26"/>
    <mergeCell ref="G25:G26"/>
    <mergeCell ref="J4:J5"/>
    <mergeCell ref="K4:K5"/>
    <mergeCell ref="M4:M5"/>
    <mergeCell ref="N4:N5"/>
    <mergeCell ref="H18:H19"/>
    <mergeCell ref="M18:M19"/>
    <mergeCell ref="N18:N19"/>
    <mergeCell ref="J18:J19"/>
    <mergeCell ref="K18:K19"/>
    <mergeCell ref="G4:G5"/>
    <mergeCell ref="H4:H5"/>
    <mergeCell ref="B4:B5"/>
    <mergeCell ref="C4:C5"/>
    <mergeCell ref="E4:E5"/>
    <mergeCell ref="F4:F5"/>
    <mergeCell ref="P20:Q20"/>
    <mergeCell ref="B18:B19"/>
    <mergeCell ref="C18:C19"/>
    <mergeCell ref="E18:E19"/>
    <mergeCell ref="F18:F19"/>
    <mergeCell ref="G18:G19"/>
  </mergeCells>
  <conditionalFormatting sqref="B20">
    <cfRule type="expression" dxfId="14" priority="3">
      <formula>$F$20&lt;=0</formula>
    </cfRule>
    <cfRule type="expression" dxfId="13" priority="8">
      <formula>(F6/F7)&lt;(J20/M20)</formula>
    </cfRule>
    <cfRule type="expression" dxfId="12" priority="9">
      <formula>(F6/F7)&gt;=(J20/M20)</formula>
    </cfRule>
  </conditionalFormatting>
  <conditionalFormatting sqref="B21">
    <cfRule type="expression" dxfId="11" priority="4">
      <formula>$F$21&lt;=0</formula>
    </cfRule>
    <cfRule type="expression" dxfId="10" priority="12">
      <formula>(F6/F7)&gt;=(J20/M20)</formula>
    </cfRule>
    <cfRule type="expression" dxfId="9" priority="14">
      <formula>(F6/F7)&lt;(J20/M20)</formula>
    </cfRule>
  </conditionalFormatting>
  <conditionalFormatting sqref="B22">
    <cfRule type="expression" dxfId="8" priority="2">
      <formula>$F$22&lt;=0</formula>
    </cfRule>
    <cfRule type="expression" dxfId="7" priority="6">
      <formula>(F9/F7)&lt;(J22/M22)</formula>
    </cfRule>
    <cfRule type="expression" dxfId="6" priority="7">
      <formula>(F9/F7)&gt;=(J22/M22)</formula>
    </cfRule>
  </conditionalFormatting>
  <conditionalFormatting sqref="B23">
    <cfRule type="expression" dxfId="5" priority="5">
      <formula>$F$23&lt;=0</formula>
    </cfRule>
    <cfRule type="expression" dxfId="4" priority="10">
      <formula>(F9/F7)&gt;=(J23/M23)</formula>
    </cfRule>
    <cfRule type="expression" dxfId="3" priority="11">
      <formula>(F9/F7)&lt;(J23/M23)</formula>
    </cfRule>
  </conditionalFormatting>
  <pageMargins left="0.7" right="0.7" top="0.78740157499999996" bottom="0.78740157499999996" header="0.3" footer="0.3"/>
  <pageSetup paperSize="9" orientation="landscape" r:id="rId1"/>
  <ignoredErrors>
    <ignoredError sqref="E6" unlockedFormula="1"/>
    <ignoredError sqref="F13 J10 E21:F21 N21:N22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3" id="{89417A0E-BC08-4ED8-8069-945362D2EECB}">
            <xm:f>IB!$M$11&lt;0</xm:f>
            <x14:dxf>
              <fill>
                <patternFill>
                  <bgColor rgb="FF92D050"/>
                </patternFill>
              </fill>
            </x14:dxf>
          </x14:cfRule>
          <xm:sqref>B6</xm:sqref>
        </x14:conditionalFormatting>
        <x14:conditionalFormatting xmlns:xm="http://schemas.microsoft.com/office/excel/2006/main">
          <x14:cfRule type="expression" priority="17" id="{0F949A54-A8FA-4EA0-80DE-76010E59CBD0}">
            <xm:f>IB!$M$21&lt;0</xm:f>
            <x14:dxf>
              <fill>
                <patternFill>
                  <bgColor rgb="FF92D050"/>
                </patternFill>
              </fill>
            </x14:dxf>
          </x14:cfRule>
          <xm:sqref>B7</xm:sqref>
        </x14:conditionalFormatting>
        <x14:conditionalFormatting xmlns:xm="http://schemas.microsoft.com/office/excel/2006/main">
          <x14:cfRule type="expression" priority="32" id="{97C157D5-ABCB-4F3E-A1AE-651C41544504}">
            <xm:f>IB!$M$12&lt;0</xm:f>
            <x14:dxf>
              <fill>
                <patternFill>
                  <bgColor rgb="FF92D050"/>
                </patternFill>
              </fill>
            </x14:dxf>
          </x14:cfRule>
          <xm:sqref>B8</xm:sqref>
        </x14:conditionalFormatting>
        <x14:conditionalFormatting xmlns:xm="http://schemas.microsoft.com/office/excel/2006/main">
          <x14:cfRule type="expression" priority="30" id="{5210FE4F-E445-4089-B013-2C20B4CFEF9B}">
            <xm:f>IB!$M$13&lt;0</xm:f>
            <x14:dxf>
              <fill>
                <patternFill>
                  <bgColor rgb="FF92D050"/>
                </patternFill>
              </fill>
            </x14:dxf>
          </x14:cfRule>
          <xm:sqref>B9</xm:sqref>
        </x14:conditionalFormatting>
        <x14:conditionalFormatting xmlns:xm="http://schemas.microsoft.com/office/excel/2006/main">
          <x14:cfRule type="expression" priority="15" id="{7854611D-B315-4DC9-BBE9-10BDA1F33363}">
            <xm:f>IB!$M$22&lt;0</xm:f>
            <x14:dxf>
              <fill>
                <patternFill>
                  <bgColor rgb="FF92D050"/>
                </patternFill>
              </fill>
            </x14:dxf>
          </x14:cfRule>
          <xm:sqref>B10</xm:sqref>
        </x14:conditionalFormatting>
        <x14:conditionalFormatting xmlns:xm="http://schemas.microsoft.com/office/excel/2006/main">
          <x14:cfRule type="expression" priority="29" id="{1FE39050-CE39-41F0-840C-CE144664D377}">
            <xm:f>IB!$M$14&lt;0</xm:f>
            <x14:dxf>
              <fill>
                <patternFill>
                  <bgColor rgb="FF92D050"/>
                </patternFill>
              </fill>
            </x14:dxf>
          </x14:cfRule>
          <xm:sqref>B11</xm:sqref>
        </x14:conditionalFormatting>
        <x14:conditionalFormatting xmlns:xm="http://schemas.microsoft.com/office/excel/2006/main">
          <x14:cfRule type="expression" priority="16" id="{CC75853C-933D-443C-9546-5AC3FD04E2CD}">
            <xm:f>IB!$M$24&lt;0</xm:f>
            <x14:dxf>
              <fill>
                <patternFill>
                  <bgColor rgb="FF92D050"/>
                </patternFill>
              </fill>
            </x14:dxf>
          </x14:cfRule>
          <xm:sqref>B12</xm:sqref>
        </x14:conditionalFormatting>
        <x14:conditionalFormatting xmlns:xm="http://schemas.microsoft.com/office/excel/2006/main">
          <x14:cfRule type="expression" priority="26" id="{522F2219-7A24-45F8-A127-931D36F38F7B}">
            <xm:f>IB!$M$25&lt;0</xm:f>
            <x14:dxf>
              <fill>
                <patternFill>
                  <bgColor rgb="FF92D050"/>
                </patternFill>
              </fill>
            </x14:dxf>
          </x14:cfRule>
          <xm:sqref>B13</xm:sqref>
        </x14:conditionalFormatting>
        <x14:conditionalFormatting xmlns:xm="http://schemas.microsoft.com/office/excel/2006/main">
          <x14:cfRule type="expression" priority="1" id="{D5972B05-51B3-4D94-8CB9-007D8901C3CB}">
            <xm:f>IB!$E5&lt;7.5</xm:f>
            <x14:dxf>
              <fill>
                <patternFill>
                  <bgColor rgb="FF92D050"/>
                </patternFill>
              </fill>
            </x14:dxf>
          </x14:cfRule>
          <xm:sqref>B27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51FEE-EFA3-4623-91B0-53A714309EE8}">
  <sheetPr>
    <tabColor rgb="FFFFFF00"/>
  </sheetPr>
  <dimension ref="B1:AA30"/>
  <sheetViews>
    <sheetView showGridLines="0" zoomScale="110" zoomScaleNormal="110" workbookViewId="0">
      <selection activeCell="C6" sqref="C6"/>
    </sheetView>
  </sheetViews>
  <sheetFormatPr baseColWidth="10" defaultRowHeight="15" x14ac:dyDescent="0.25"/>
  <cols>
    <col min="1" max="1" width="3" customWidth="1"/>
    <col min="2" max="2" width="18.5703125" customWidth="1"/>
    <col min="3" max="3" width="10.28515625" style="227" customWidth="1"/>
    <col min="4" max="4" width="5.140625" customWidth="1"/>
    <col min="5" max="5" width="1.5703125" customWidth="1"/>
    <col min="6" max="6" width="3.28515625" customWidth="1"/>
    <col min="7" max="7" width="6.28515625" customWidth="1"/>
    <col min="8" max="8" width="7" customWidth="1"/>
    <col min="9" max="9" width="7.7109375" customWidth="1"/>
    <col min="10" max="10" width="7" customWidth="1"/>
    <col min="11" max="11" width="7.28515625" customWidth="1"/>
    <col min="12" max="12" width="6.85546875" customWidth="1"/>
    <col min="13" max="13" width="7.28515625" customWidth="1"/>
    <col min="14" max="14" width="7.140625" customWidth="1"/>
    <col min="15" max="15" width="7" customWidth="1"/>
    <col min="16" max="16" width="7.5703125" customWidth="1"/>
    <col min="17" max="17" width="6.85546875" customWidth="1"/>
    <col min="18" max="18" width="7.5703125" customWidth="1"/>
    <col min="19" max="19" width="5.7109375" customWidth="1"/>
    <col min="21" max="21" width="9.5703125" customWidth="1"/>
  </cols>
  <sheetData>
    <row r="1" spans="2:27" ht="23.25" x14ac:dyDescent="0.35">
      <c r="B1" s="228" t="s">
        <v>187</v>
      </c>
    </row>
    <row r="2" spans="2:27" ht="15.75" thickBot="1" x14ac:dyDescent="0.3"/>
    <row r="3" spans="2:27" ht="33" x14ac:dyDescent="0.35">
      <c r="B3" s="229" t="s">
        <v>192</v>
      </c>
      <c r="C3" s="245">
        <v>0.1</v>
      </c>
      <c r="D3" s="233" t="s">
        <v>68</v>
      </c>
    </row>
    <row r="4" spans="2:27" x14ac:dyDescent="0.25">
      <c r="B4" s="230" t="s">
        <v>189</v>
      </c>
      <c r="C4" s="241">
        <v>25</v>
      </c>
      <c r="D4" s="234" t="s">
        <v>190</v>
      </c>
      <c r="I4" s="227"/>
    </row>
    <row r="5" spans="2:27" x14ac:dyDescent="0.25">
      <c r="B5" s="230" t="s">
        <v>108</v>
      </c>
      <c r="C5" s="241">
        <v>35</v>
      </c>
      <c r="D5" s="234" t="s">
        <v>191</v>
      </c>
    </row>
    <row r="6" spans="2:27" ht="15.75" thickBot="1" x14ac:dyDescent="0.3">
      <c r="B6" s="231" t="s">
        <v>188</v>
      </c>
      <c r="C6" s="242">
        <v>8.3000000000000007</v>
      </c>
      <c r="D6" s="254"/>
    </row>
    <row r="7" spans="2:27" ht="18.75" thickBot="1" x14ac:dyDescent="0.4">
      <c r="B7" s="121" t="s">
        <v>196</v>
      </c>
      <c r="C7" s="232">
        <f>10.0423-(0.0315536*C4)+(0.003071*C5)</f>
        <v>9.3609449999999992</v>
      </c>
      <c r="D7" s="114"/>
      <c r="E7" s="114"/>
      <c r="F7" s="114"/>
    </row>
    <row r="8" spans="2:27" ht="33.75" thickBot="1" x14ac:dyDescent="0.4">
      <c r="B8" s="235" t="s">
        <v>206</v>
      </c>
      <c r="C8" s="236">
        <f>(0.94412*C3)/(1+POWER(10,C7-C6))</f>
        <v>7.5490063842370515E-3</v>
      </c>
      <c r="D8" s="237" t="s">
        <v>68</v>
      </c>
      <c r="T8" t="s">
        <v>199</v>
      </c>
      <c r="U8" t="s">
        <v>200</v>
      </c>
    </row>
    <row r="9" spans="2:27" x14ac:dyDescent="0.25">
      <c r="B9" s="114"/>
      <c r="C9" s="238"/>
      <c r="D9" s="114"/>
      <c r="E9" s="114"/>
      <c r="F9" s="114"/>
      <c r="U9" t="s">
        <v>201</v>
      </c>
    </row>
    <row r="10" spans="2:27" x14ac:dyDescent="0.25">
      <c r="B10" s="2" t="s">
        <v>197</v>
      </c>
      <c r="C10" s="244">
        <f>(C8/C3)*100</f>
        <v>7.5490063842370514</v>
      </c>
      <c r="D10" s="240" t="s">
        <v>193</v>
      </c>
      <c r="E10" s="240"/>
      <c r="F10" s="240"/>
      <c r="U10" t="s">
        <v>202</v>
      </c>
    </row>
    <row r="11" spans="2:27" ht="18" x14ac:dyDescent="0.35">
      <c r="B11" s="2" t="s">
        <v>198</v>
      </c>
      <c r="C11" s="244">
        <f>100-C10</f>
        <v>92.450993615762954</v>
      </c>
      <c r="D11" s="240" t="s">
        <v>193</v>
      </c>
      <c r="E11" s="240"/>
      <c r="F11" s="240"/>
      <c r="U11" t="s">
        <v>204</v>
      </c>
    </row>
    <row r="12" spans="2:27" ht="18" x14ac:dyDescent="0.35">
      <c r="U12" t="s">
        <v>205</v>
      </c>
    </row>
    <row r="13" spans="2:27" x14ac:dyDescent="0.25">
      <c r="U13" s="326" t="s">
        <v>203</v>
      </c>
      <c r="V13" s="326"/>
      <c r="W13" s="326"/>
      <c r="X13" s="326"/>
      <c r="Y13" s="326"/>
      <c r="Z13" s="326"/>
      <c r="AA13" s="326"/>
    </row>
    <row r="14" spans="2:27" x14ac:dyDescent="0.25">
      <c r="U14" s="326"/>
      <c r="V14" s="326"/>
      <c r="W14" s="326"/>
      <c r="X14" s="326"/>
      <c r="Y14" s="326"/>
      <c r="Z14" s="326"/>
      <c r="AA14" s="326"/>
    </row>
    <row r="15" spans="2:27" x14ac:dyDescent="0.25">
      <c r="U15" s="326"/>
      <c r="V15" s="326"/>
      <c r="W15" s="326"/>
      <c r="X15" s="326"/>
      <c r="Y15" s="326"/>
      <c r="Z15" s="326"/>
      <c r="AA15" s="326"/>
    </row>
    <row r="16" spans="2:27" x14ac:dyDescent="0.25">
      <c r="U16" s="326"/>
      <c r="V16" s="326"/>
      <c r="W16" s="326"/>
      <c r="X16" s="326"/>
      <c r="Y16" s="326"/>
      <c r="Z16" s="326"/>
      <c r="AA16" s="326"/>
    </row>
    <row r="17" spans="2:27" x14ac:dyDescent="0.25">
      <c r="U17" s="326"/>
      <c r="V17" s="326"/>
      <c r="W17" s="326"/>
      <c r="X17" s="326"/>
      <c r="Y17" s="326"/>
      <c r="Z17" s="326"/>
      <c r="AA17" s="326"/>
    </row>
    <row r="18" spans="2:27" x14ac:dyDescent="0.25">
      <c r="U18" s="326"/>
      <c r="V18" s="326"/>
      <c r="W18" s="326"/>
      <c r="X18" s="326"/>
      <c r="Y18" s="326"/>
      <c r="Z18" s="326"/>
      <c r="AA18" s="326"/>
    </row>
    <row r="19" spans="2:27" x14ac:dyDescent="0.25">
      <c r="U19" s="326"/>
      <c r="V19" s="326"/>
      <c r="W19" s="326"/>
      <c r="X19" s="326"/>
      <c r="Y19" s="326"/>
      <c r="Z19" s="326"/>
      <c r="AA19" s="326"/>
    </row>
    <row r="21" spans="2:27" ht="5.25" customHeight="1" x14ac:dyDescent="0.25"/>
    <row r="22" spans="2:27" ht="16.5" customHeight="1" x14ac:dyDescent="0.25">
      <c r="H22" s="325" t="s">
        <v>194</v>
      </c>
      <c r="I22" s="325"/>
      <c r="J22" s="325"/>
      <c r="K22" s="325"/>
      <c r="L22" s="325"/>
      <c r="M22" s="325"/>
      <c r="N22" s="325"/>
      <c r="O22" s="325"/>
      <c r="P22" s="325"/>
      <c r="Q22" s="325"/>
      <c r="R22" s="325"/>
    </row>
    <row r="23" spans="2:27" ht="18" customHeight="1" thickBot="1" x14ac:dyDescent="0.3">
      <c r="G23" s="227"/>
      <c r="H23" s="248">
        <v>20</v>
      </c>
      <c r="I23" s="243">
        <v>21</v>
      </c>
      <c r="J23" s="243">
        <v>22</v>
      </c>
      <c r="K23" s="243">
        <v>23</v>
      </c>
      <c r="L23" s="243">
        <v>24</v>
      </c>
      <c r="M23" s="243">
        <v>25</v>
      </c>
      <c r="N23" s="243">
        <v>26</v>
      </c>
      <c r="O23" s="243">
        <v>27</v>
      </c>
      <c r="P23" s="243">
        <v>28</v>
      </c>
      <c r="Q23" s="243">
        <v>29</v>
      </c>
      <c r="R23" s="249">
        <v>30</v>
      </c>
    </row>
    <row r="24" spans="2:27" ht="18" x14ac:dyDescent="0.35">
      <c r="B24" s="229" t="s">
        <v>207</v>
      </c>
      <c r="C24" s="256">
        <f>C3</f>
        <v>0.1</v>
      </c>
      <c r="D24" s="233" t="s">
        <v>68</v>
      </c>
      <c r="E24" s="255"/>
      <c r="F24" s="327" t="s">
        <v>195</v>
      </c>
      <c r="G24" s="246">
        <v>7.7</v>
      </c>
      <c r="H24" s="250">
        <f t="shared" ref="H24:H30" si="0">((0.94412*$C$3)/(1+POWER(10,10.0423-(0.0315536*H$23)+(0.003071*$C$5)-$G24))/$C$3)</f>
        <v>1.4117926508905183E-2</v>
      </c>
      <c r="I24" s="250">
        <f t="shared" ref="I24:R30" si="1">((0.94412*$C$3)/(1+POWER(10,10.0423-(0.0315536*I$23)+(0.003071*$C$5)-$G24))/$C$3)</f>
        <v>1.5164754754743008E-2</v>
      </c>
      <c r="J24" s="250">
        <f t="shared" si="1"/>
        <v>1.628784468950471E-2</v>
      </c>
      <c r="K24" s="250">
        <f t="shared" si="1"/>
        <v>1.7492543574054192E-2</v>
      </c>
      <c r="L24" s="250">
        <f t="shared" si="1"/>
        <v>1.878454172786333E-2</v>
      </c>
      <c r="M24" s="250">
        <f t="shared" si="1"/>
        <v>2.0169889626681915E-2</v>
      </c>
      <c r="N24" s="250">
        <f t="shared" si="1"/>
        <v>2.1655015061677024E-2</v>
      </c>
      <c r="O24" s="250">
        <f t="shared" si="1"/>
        <v>2.3246740205043567E-2</v>
      </c>
      <c r="P24" s="250">
        <f t="shared" si="1"/>
        <v>2.4952298397547076E-2</v>
      </c>
      <c r="Q24" s="250">
        <f t="shared" si="1"/>
        <v>2.6779350440388604E-2</v>
      </c>
      <c r="R24" s="251">
        <f t="shared" si="1"/>
        <v>2.8736000137012465E-2</v>
      </c>
    </row>
    <row r="25" spans="2:27" ht="15.75" thickBot="1" x14ac:dyDescent="0.3">
      <c r="B25" s="231" t="s">
        <v>108</v>
      </c>
      <c r="C25" s="257">
        <f>C5</f>
        <v>35</v>
      </c>
      <c r="D25" s="254" t="s">
        <v>191</v>
      </c>
      <c r="E25" s="255"/>
      <c r="F25" s="328"/>
      <c r="G25" s="239">
        <v>7.8</v>
      </c>
      <c r="H25" s="250">
        <f t="shared" si="0"/>
        <v>1.7704865879332645E-2</v>
      </c>
      <c r="I25" s="250">
        <f t="shared" si="1"/>
        <v>1.9012224384886183E-2</v>
      </c>
      <c r="J25" s="250">
        <f t="shared" si="1"/>
        <v>2.0413993294342122E-2</v>
      </c>
      <c r="K25" s="250">
        <f t="shared" si="1"/>
        <v>2.1916665937878766E-2</v>
      </c>
      <c r="L25" s="250">
        <f t="shared" si="1"/>
        <v>2.3527132892402873E-2</v>
      </c>
      <c r="M25" s="250">
        <f t="shared" si="1"/>
        <v>2.5252698701473453E-2</v>
      </c>
      <c r="N25" s="250">
        <f t="shared" si="1"/>
        <v>2.7101098059193768E-2</v>
      </c>
      <c r="O25" s="250">
        <f t="shared" si="1"/>
        <v>2.908051119709085E-2</v>
      </c>
      <c r="P25" s="250">
        <f t="shared" si="1"/>
        <v>3.1199578171747209E-2</v>
      </c>
      <c r="Q25" s="250">
        <f t="shared" si="1"/>
        <v>3.3467411705801788E-2</v>
      </c>
      <c r="R25" s="251">
        <f t="shared" si="1"/>
        <v>3.5893608185968193E-2</v>
      </c>
    </row>
    <row r="26" spans="2:27" x14ac:dyDescent="0.25">
      <c r="E26" s="255"/>
      <c r="F26" s="328"/>
      <c r="G26" s="239">
        <v>7.9</v>
      </c>
      <c r="H26" s="250">
        <f t="shared" si="0"/>
        <v>2.2181402241517535E-2</v>
      </c>
      <c r="I26" s="250">
        <f t="shared" si="1"/>
        <v>2.3810820114679176E-2</v>
      </c>
      <c r="J26" s="250">
        <f t="shared" si="1"/>
        <v>2.5556614965782994E-2</v>
      </c>
      <c r="K26" s="250">
        <f t="shared" si="1"/>
        <v>2.7426595823093584E-2</v>
      </c>
      <c r="L26" s="250">
        <f t="shared" si="1"/>
        <v>2.9429019756111167E-2</v>
      </c>
      <c r="M26" s="250">
        <f t="shared" si="1"/>
        <v>3.1572605944128584E-2</v>
      </c>
      <c r="N26" s="250">
        <f t="shared" si="1"/>
        <v>3.386654823463775E-2</v>
      </c>
      <c r="O26" s="250">
        <f t="shared" si="1"/>
        <v>3.6320525786575068E-2</v>
      </c>
      <c r="P26" s="250">
        <f t="shared" si="1"/>
        <v>3.8944711340194685E-2</v>
      </c>
      <c r="Q26" s="250">
        <f t="shared" si="1"/>
        <v>4.1749776598932302E-2</v>
      </c>
      <c r="R26" s="251">
        <f t="shared" si="1"/>
        <v>4.4746894149576388E-2</v>
      </c>
    </row>
    <row r="27" spans="2:27" x14ac:dyDescent="0.25">
      <c r="E27" s="255"/>
      <c r="F27" s="328"/>
      <c r="G27" s="239">
        <v>8</v>
      </c>
      <c r="H27" s="250">
        <f t="shared" si="0"/>
        <v>2.7755884650632674E-2</v>
      </c>
      <c r="I27" s="250">
        <f t="shared" si="1"/>
        <v>2.978156899872653E-2</v>
      </c>
      <c r="J27" s="250">
        <f t="shared" si="1"/>
        <v>3.1949937615272705E-2</v>
      </c>
      <c r="K27" s="250">
        <f t="shared" si="1"/>
        <v>3.4270265778416277E-2</v>
      </c>
      <c r="L27" s="250">
        <f t="shared" si="1"/>
        <v>3.6752315657293429E-2</v>
      </c>
      <c r="M27" s="250">
        <f t="shared" si="1"/>
        <v>3.9406344130983852E-2</v>
      </c>
      <c r="N27" s="250">
        <f t="shared" si="1"/>
        <v>4.2243107626594729E-2</v>
      </c>
      <c r="O27" s="250">
        <f t="shared" si="1"/>
        <v>4.527386339259129E-2</v>
      </c>
      <c r="P27" s="250">
        <f t="shared" si="1"/>
        <v>4.8510366562451258E-2</v>
      </c>
      <c r="Q27" s="250">
        <f t="shared" si="1"/>
        <v>5.196486230225051E-2</v>
      </c>
      <c r="R27" s="251">
        <f t="shared" si="1"/>
        <v>5.5650072275456437E-2</v>
      </c>
    </row>
    <row r="28" spans="2:27" x14ac:dyDescent="0.25">
      <c r="D28" s="255"/>
      <c r="E28" s="255"/>
      <c r="F28" s="328"/>
      <c r="G28" s="239">
        <v>8.1</v>
      </c>
      <c r="H28" s="250">
        <f t="shared" si="0"/>
        <v>3.4678612621371258E-2</v>
      </c>
      <c r="I28" s="250">
        <f t="shared" si="1"/>
        <v>3.7189028492692774E-2</v>
      </c>
      <c r="J28" s="250">
        <f t="shared" si="1"/>
        <v>3.9873207863355305E-2</v>
      </c>
      <c r="K28" s="250">
        <f t="shared" si="1"/>
        <v>4.2741991922090015E-2</v>
      </c>
      <c r="L28" s="250">
        <f t="shared" si="1"/>
        <v>4.5806722496602899E-2</v>
      </c>
      <c r="M28" s="250">
        <f t="shared" si="1"/>
        <v>4.9079238336705647E-2</v>
      </c>
      <c r="N28" s="250">
        <f t="shared" si="1"/>
        <v>5.2571866355825995E-2</v>
      </c>
      <c r="O28" s="250">
        <f t="shared" si="1"/>
        <v>5.6297407054204884E-2</v>
      </c>
      <c r="P28" s="250">
        <f t="shared" si="1"/>
        <v>6.0269113290603374E-2</v>
      </c>
      <c r="Q28" s="250">
        <f t="shared" si="1"/>
        <v>6.4500661518825567E-2</v>
      </c>
      <c r="R28" s="251">
        <f t="shared" si="1"/>
        <v>6.9006114563855414E-2</v>
      </c>
    </row>
    <row r="29" spans="2:27" x14ac:dyDescent="0.25">
      <c r="D29" s="255"/>
      <c r="E29" s="255"/>
      <c r="F29" s="328"/>
      <c r="G29" s="239">
        <v>8.1999999999999993</v>
      </c>
      <c r="H29" s="250">
        <f t="shared" si="0"/>
        <v>4.3246485441934442E-2</v>
      </c>
      <c r="I29" s="250">
        <f t="shared" si="1"/>
        <v>4.6345529814342763E-2</v>
      </c>
      <c r="J29" s="250">
        <f t="shared" si="1"/>
        <v>4.9654411304727974E-2</v>
      </c>
      <c r="K29" s="250">
        <f t="shared" si="1"/>
        <v>5.3185538158436407E-2</v>
      </c>
      <c r="L29" s="250">
        <f t="shared" si="1"/>
        <v>5.6951789106721482E-2</v>
      </c>
      <c r="M29" s="250">
        <f t="shared" si="1"/>
        <v>6.0966490926798678E-2</v>
      </c>
      <c r="N29" s="250">
        <f t="shared" si="1"/>
        <v>6.5243388312787656E-2</v>
      </c>
      <c r="O29" s="250">
        <f t="shared" si="1"/>
        <v>6.9796605126444006E-2</v>
      </c>
      <c r="P29" s="250">
        <f t="shared" si="1"/>
        <v>7.4640596070136581E-2</v>
      </c>
      <c r="Q29" s="250">
        <f t="shared" si="1"/>
        <v>7.9790087815473018E-2</v>
      </c>
      <c r="R29" s="251">
        <f t="shared" si="1"/>
        <v>8.5260008634067339E-2</v>
      </c>
    </row>
    <row r="30" spans="2:27" x14ac:dyDescent="0.25">
      <c r="D30" s="255"/>
      <c r="E30" s="255"/>
      <c r="F30" s="328"/>
      <c r="G30" s="247">
        <v>8.3000000000000007</v>
      </c>
      <c r="H30" s="252">
        <f t="shared" si="0"/>
        <v>5.380594103769086E-2</v>
      </c>
      <c r="I30" s="252">
        <f t="shared" si="1"/>
        <v>5.7613283880225283E-2</v>
      </c>
      <c r="J30" s="252">
        <f t="shared" si="1"/>
        <v>6.1671374914170858E-2</v>
      </c>
      <c r="K30" s="252">
        <f t="shared" si="1"/>
        <v>6.5994025966710765E-2</v>
      </c>
      <c r="L30" s="252">
        <f t="shared" si="1"/>
        <v>7.0595420554911442E-2</v>
      </c>
      <c r="M30" s="252">
        <f t="shared" si="1"/>
        <v>7.5490063842370517E-2</v>
      </c>
      <c r="N30" s="252">
        <f t="shared" si="1"/>
        <v>8.0692721888572558E-2</v>
      </c>
      <c r="O30" s="252">
        <f t="shared" si="1"/>
        <v>8.6218349242207989E-2</v>
      </c>
      <c r="P30" s="252">
        <f t="shared" si="1"/>
        <v>9.2082003975305249E-2</v>
      </c>
      <c r="Q30" s="252">
        <f t="shared" si="1"/>
        <v>9.8298749334493035E-2</v>
      </c>
      <c r="R30" s="253">
        <f t="shared" si="1"/>
        <v>0.10488354130489101</v>
      </c>
    </row>
  </sheetData>
  <sheetProtection algorithmName="SHA-512" hashValue="bhIasTBUUWcFZpNreyu8jhjOqNa7beuYRcf5wCVQRlVSwe17oxI/OKXgnUli+a59i0uB+16liLNcYI4qCaylnQ==" saltValue="dkjcdYuL/OZMaPSPKMIk2g==" spinCount="100000" sheet="1" objects="1" scenarios="1" selectLockedCells="1"/>
  <mergeCells count="3">
    <mergeCell ref="H22:R22"/>
    <mergeCell ref="U13:AA19"/>
    <mergeCell ref="F24:F30"/>
  </mergeCells>
  <conditionalFormatting sqref="C8">
    <cfRule type="expression" dxfId="1" priority="1">
      <formula>$C$8&gt;=0.01</formula>
    </cfRule>
    <cfRule type="expression" dxfId="0" priority="2">
      <formula>$C$8&lt;0.01</formula>
    </cfRule>
  </conditionalFormatting>
  <pageMargins left="0.7" right="0.7" top="0.78740157499999996" bottom="0.78740157499999996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8E9C6-8F02-41E1-8D76-301F631F3CF1}">
  <sheetPr codeName="Tabelle6"/>
  <dimension ref="B1:P17"/>
  <sheetViews>
    <sheetView showGridLines="0" zoomScale="110" zoomScaleNormal="110" workbookViewId="0">
      <selection activeCell="Q23" sqref="Q23"/>
    </sheetView>
  </sheetViews>
  <sheetFormatPr baseColWidth="10" defaultRowHeight="15" x14ac:dyDescent="0.25"/>
  <cols>
    <col min="1" max="1" width="3.7109375" customWidth="1"/>
    <col min="3" max="3" width="20.85546875" customWidth="1"/>
    <col min="4" max="4" width="15" bestFit="1" customWidth="1"/>
    <col min="5" max="5" width="8.85546875" bestFit="1" customWidth="1"/>
    <col min="6" max="6" width="1.7109375" customWidth="1"/>
    <col min="7" max="8" width="7.5703125" customWidth="1"/>
    <col min="9" max="9" width="2" customWidth="1"/>
    <col min="11" max="12" width="7.5703125" customWidth="1"/>
    <col min="13" max="13" width="1.42578125" customWidth="1"/>
    <col min="14" max="14" width="8.7109375" customWidth="1"/>
    <col min="15" max="15" width="1.7109375" customWidth="1"/>
    <col min="16" max="16" width="11.5703125" customWidth="1"/>
  </cols>
  <sheetData>
    <row r="1" spans="2:16" ht="10.5" customHeight="1" thickBot="1" x14ac:dyDescent="0.3"/>
    <row r="2" spans="2:16" ht="15" customHeight="1" x14ac:dyDescent="0.25">
      <c r="B2" s="332" t="s">
        <v>130</v>
      </c>
      <c r="C2" s="332" t="s">
        <v>175</v>
      </c>
      <c r="D2" s="332" t="s">
        <v>169</v>
      </c>
      <c r="E2" s="332" t="s">
        <v>167</v>
      </c>
      <c r="F2" s="34"/>
      <c r="G2" s="335" t="s">
        <v>168</v>
      </c>
      <c r="H2" s="335" t="s">
        <v>160</v>
      </c>
      <c r="I2" s="34"/>
      <c r="J2" s="330" t="s">
        <v>176</v>
      </c>
      <c r="K2" s="330" t="s">
        <v>168</v>
      </c>
      <c r="L2" s="330" t="s">
        <v>160</v>
      </c>
      <c r="N2" s="338" t="s">
        <v>185</v>
      </c>
      <c r="O2" s="34"/>
      <c r="P2" s="332" t="s">
        <v>166</v>
      </c>
    </row>
    <row r="3" spans="2:16" ht="33.75" customHeight="1" thickBot="1" x14ac:dyDescent="0.3">
      <c r="B3" s="333"/>
      <c r="C3" s="333"/>
      <c r="D3" s="337"/>
      <c r="E3" s="337"/>
      <c r="F3" s="34"/>
      <c r="G3" s="336"/>
      <c r="H3" s="336"/>
      <c r="I3" s="34"/>
      <c r="J3" s="331"/>
      <c r="K3" s="331"/>
      <c r="L3" s="331"/>
      <c r="N3" s="338"/>
      <c r="O3" s="34"/>
      <c r="P3" s="333"/>
    </row>
    <row r="4" spans="2:16" ht="30.75" thickBot="1" x14ac:dyDescent="0.3">
      <c r="B4" s="329" t="s">
        <v>20</v>
      </c>
      <c r="C4" s="146" t="s">
        <v>133</v>
      </c>
      <c r="D4" s="146" t="s">
        <v>134</v>
      </c>
      <c r="E4" s="173">
        <v>203.3</v>
      </c>
      <c r="F4" s="171"/>
      <c r="G4" s="187">
        <v>1</v>
      </c>
      <c r="H4" s="185">
        <f>'Atommassen Wertigkeit'!E6*G4/E4</f>
        <v>0.11955238563698967</v>
      </c>
      <c r="I4" s="171"/>
      <c r="J4" s="175" t="s">
        <v>32</v>
      </c>
      <c r="K4" s="189">
        <v>2</v>
      </c>
      <c r="L4" s="186">
        <f>'Atommassen Wertigkeit'!E12*K4/E4</f>
        <v>0.34874569601574029</v>
      </c>
      <c r="N4" s="210">
        <f t="shared" ref="N4:N16" si="0">H4/L4</f>
        <v>0.34280677009873056</v>
      </c>
      <c r="O4" s="171"/>
      <c r="P4" s="173">
        <v>2350</v>
      </c>
    </row>
    <row r="5" spans="2:16" ht="30.75" thickBot="1" x14ac:dyDescent="0.3">
      <c r="B5" s="334"/>
      <c r="C5" s="146" t="s">
        <v>135</v>
      </c>
      <c r="D5" s="146" t="s">
        <v>136</v>
      </c>
      <c r="E5" s="173">
        <v>246.48</v>
      </c>
      <c r="F5" s="171"/>
      <c r="G5" s="187">
        <v>1</v>
      </c>
      <c r="H5" s="185">
        <f>'Atommassen Wertigkeit'!E6*G5/E5</f>
        <v>9.8608406361570922E-2</v>
      </c>
      <c r="I5" s="171"/>
      <c r="J5" s="175" t="s">
        <v>109</v>
      </c>
      <c r="K5" s="189">
        <v>1</v>
      </c>
      <c r="L5" s="186">
        <f>'Atommassen Wertigkeit'!E13*K5/E5</f>
        <v>0.38971762414800387</v>
      </c>
      <c r="N5" s="210">
        <f t="shared" si="0"/>
        <v>0.25302526817242987</v>
      </c>
      <c r="O5" s="171"/>
      <c r="P5" s="173">
        <v>710</v>
      </c>
    </row>
    <row r="6" spans="2:16" ht="33.75" customHeight="1" thickBot="1" x14ac:dyDescent="0.3">
      <c r="B6" s="147" t="s">
        <v>109</v>
      </c>
      <c r="C6" s="146" t="s">
        <v>173</v>
      </c>
      <c r="D6" s="146" t="s">
        <v>171</v>
      </c>
      <c r="E6" s="172">
        <v>142.04</v>
      </c>
      <c r="F6" s="171"/>
      <c r="G6" s="187">
        <v>1</v>
      </c>
      <c r="H6" s="185">
        <f>'Atommassen Wertigkeit'!K13*G6/E6</f>
        <v>0.2257462686567164</v>
      </c>
      <c r="I6" s="171"/>
      <c r="J6" s="175" t="s">
        <v>17</v>
      </c>
      <c r="K6" s="189">
        <v>2</v>
      </c>
      <c r="L6" s="186">
        <f>'Atommassen Wertigkeit'!E5*K6/E6</f>
        <v>0.32371163052661223</v>
      </c>
      <c r="N6" s="210">
        <f t="shared" si="0"/>
        <v>0.69736842105263153</v>
      </c>
      <c r="O6" s="171"/>
      <c r="P6" s="173" t="s">
        <v>174</v>
      </c>
    </row>
    <row r="7" spans="2:16" ht="30.75" thickBot="1" x14ac:dyDescent="0.3">
      <c r="B7" s="147" t="s">
        <v>19</v>
      </c>
      <c r="C7" s="146" t="s">
        <v>137</v>
      </c>
      <c r="D7" s="146" t="s">
        <v>138</v>
      </c>
      <c r="E7" s="173">
        <v>147.02000000000001</v>
      </c>
      <c r="F7" s="171"/>
      <c r="G7" s="187">
        <v>1</v>
      </c>
      <c r="H7" s="185">
        <f>'Atommassen Wertigkeit'!E7*G7/E7</f>
        <v>0.2726023670248946</v>
      </c>
      <c r="I7" s="171"/>
      <c r="J7" s="175" t="s">
        <v>32</v>
      </c>
      <c r="K7" s="189">
        <v>2</v>
      </c>
      <c r="L7" s="186">
        <f>'Atommassen Wertigkeit'!E12*K7/E7</f>
        <v>0.48224731329070875</v>
      </c>
      <c r="N7" s="210">
        <f t="shared" si="0"/>
        <v>0.56527503526093092</v>
      </c>
      <c r="O7" s="171"/>
      <c r="P7" s="173">
        <v>1000</v>
      </c>
    </row>
    <row r="8" spans="2:16" ht="15.75" thickBot="1" x14ac:dyDescent="0.3">
      <c r="B8" s="329" t="s">
        <v>18</v>
      </c>
      <c r="C8" s="146" t="s">
        <v>139</v>
      </c>
      <c r="D8" s="146" t="s">
        <v>140</v>
      </c>
      <c r="E8" s="173">
        <v>74.56</v>
      </c>
      <c r="F8" s="171"/>
      <c r="G8" s="187">
        <v>1</v>
      </c>
      <c r="H8" s="185">
        <f>'Atommassen Wertigkeit'!E8*G8/E8</f>
        <v>0.52438707081545066</v>
      </c>
      <c r="I8" s="171"/>
      <c r="J8" s="175" t="s">
        <v>32</v>
      </c>
      <c r="K8" s="189">
        <v>1</v>
      </c>
      <c r="L8" s="186">
        <f>'Atommassen Wertigkeit'!E12*K8/E8</f>
        <v>0.47545600858369103</v>
      </c>
      <c r="N8" s="210">
        <f t="shared" si="0"/>
        <v>1.1029139633286318</v>
      </c>
      <c r="O8" s="171"/>
      <c r="P8" s="173">
        <v>330</v>
      </c>
    </row>
    <row r="9" spans="2:16" ht="18.75" thickBot="1" x14ac:dyDescent="0.3">
      <c r="B9" s="334"/>
      <c r="C9" s="146" t="s">
        <v>141</v>
      </c>
      <c r="D9" s="146" t="s">
        <v>142</v>
      </c>
      <c r="E9" s="173">
        <v>174.27</v>
      </c>
      <c r="F9" s="171"/>
      <c r="G9" s="187">
        <v>2</v>
      </c>
      <c r="H9" s="185">
        <f>'Atommassen Wertigkeit'!E8*G9/E9</f>
        <v>0.44870947380501519</v>
      </c>
      <c r="I9" s="171"/>
      <c r="J9" s="175" t="s">
        <v>109</v>
      </c>
      <c r="K9" s="189">
        <v>1</v>
      </c>
      <c r="L9" s="186">
        <f>'Atommassen Wertigkeit'!E13*K9/E9</f>
        <v>0.55119986228266471</v>
      </c>
      <c r="N9" s="210">
        <f t="shared" si="0"/>
        <v>0.81405948097808001</v>
      </c>
      <c r="O9" s="171"/>
      <c r="P9" s="173">
        <v>111</v>
      </c>
    </row>
    <row r="10" spans="2:16" ht="30.75" thickBot="1" x14ac:dyDescent="0.3">
      <c r="B10" s="147" t="s">
        <v>21</v>
      </c>
      <c r="C10" s="146" t="s">
        <v>143</v>
      </c>
      <c r="D10" s="146" t="s">
        <v>144</v>
      </c>
      <c r="E10" s="173">
        <v>266.62</v>
      </c>
      <c r="F10" s="171"/>
      <c r="G10" s="187">
        <v>1</v>
      </c>
      <c r="H10" s="185">
        <f>'Atommassen Wertigkeit'!E9*G10/E10</f>
        <v>0.32863251068937066</v>
      </c>
      <c r="I10" s="171"/>
      <c r="J10" s="175" t="s">
        <v>32</v>
      </c>
      <c r="K10" s="189">
        <v>2</v>
      </c>
      <c r="L10" s="186">
        <f>'Atommassen Wertigkeit'!E12*K10/E10</f>
        <v>0.26592153626884707</v>
      </c>
      <c r="N10" s="210">
        <f t="shared" si="0"/>
        <v>1.2358251057827927</v>
      </c>
      <c r="O10" s="171"/>
      <c r="P10" s="173">
        <v>1062</v>
      </c>
    </row>
    <row r="11" spans="2:16" ht="15.75" thickBot="1" x14ac:dyDescent="0.3">
      <c r="B11" s="329" t="s">
        <v>145</v>
      </c>
      <c r="C11" s="146" t="s">
        <v>146</v>
      </c>
      <c r="D11" s="146" t="s">
        <v>147</v>
      </c>
      <c r="E11" s="173">
        <v>102.89</v>
      </c>
      <c r="F11" s="171"/>
      <c r="G11" s="187">
        <v>1</v>
      </c>
      <c r="H11" s="185">
        <f>'Atommassen Wertigkeit'!E14*G11/E11</f>
        <v>0.77659636505005336</v>
      </c>
      <c r="I11" s="171"/>
      <c r="J11" s="175" t="s">
        <v>17</v>
      </c>
      <c r="K11" s="189">
        <v>1</v>
      </c>
      <c r="L11" s="186">
        <f>'Atommassen Wertigkeit'!E5*K11/E11</f>
        <v>0.22344251141996305</v>
      </c>
      <c r="N11" s="210">
        <f>H11/L11</f>
        <v>3.475598086124402</v>
      </c>
      <c r="O11" s="171"/>
      <c r="P11" s="173">
        <v>905</v>
      </c>
    </row>
    <row r="12" spans="2:16" ht="15.75" thickBot="1" x14ac:dyDescent="0.3">
      <c r="B12" s="322"/>
      <c r="C12" s="146" t="s">
        <v>148</v>
      </c>
      <c r="D12" s="146" t="s">
        <v>149</v>
      </c>
      <c r="E12" s="173">
        <v>119</v>
      </c>
      <c r="F12" s="171"/>
      <c r="G12" s="187">
        <v>1</v>
      </c>
      <c r="H12" s="185">
        <f>'Atommassen Wertigkeit'!E14*G12/E12</f>
        <v>0.6714621848739496</v>
      </c>
      <c r="I12" s="171"/>
      <c r="J12" s="175" t="s">
        <v>18</v>
      </c>
      <c r="K12" s="189">
        <v>1</v>
      </c>
      <c r="L12" s="186">
        <f>'Atommassen Wertigkeit'!E8*K12/E12</f>
        <v>0.32855714285714288</v>
      </c>
      <c r="N12" s="210">
        <f t="shared" si="0"/>
        <v>2.0436694178519268</v>
      </c>
      <c r="O12" s="171"/>
      <c r="P12" s="173">
        <v>650</v>
      </c>
    </row>
    <row r="13" spans="2:16" ht="30.75" thickBot="1" x14ac:dyDescent="0.3">
      <c r="B13" s="329" t="s">
        <v>24</v>
      </c>
      <c r="C13" s="146" t="s">
        <v>150</v>
      </c>
      <c r="D13" s="146" t="s">
        <v>151</v>
      </c>
      <c r="E13" s="173">
        <v>381.37</v>
      </c>
      <c r="F13" s="171"/>
      <c r="G13" s="187">
        <v>4</v>
      </c>
      <c r="H13" s="185">
        <f>'Atommassen Wertigkeit'!E15*G13/E13</f>
        <v>0.11338070640060834</v>
      </c>
      <c r="I13" s="171"/>
      <c r="J13" s="175" t="s">
        <v>17</v>
      </c>
      <c r="K13" s="189">
        <v>2</v>
      </c>
      <c r="L13" s="186">
        <f>'Atommassen Wertigkeit'!E5*K13/E13</f>
        <v>0.12056533025670607</v>
      </c>
      <c r="N13" s="210">
        <f>H13/L13</f>
        <v>0.94040887342322765</v>
      </c>
      <c r="O13" s="171"/>
      <c r="P13" s="173">
        <v>51.5</v>
      </c>
    </row>
    <row r="14" spans="2:16" ht="18.75" thickBot="1" x14ac:dyDescent="0.3">
      <c r="B14" s="322"/>
      <c r="C14" s="146" t="s">
        <v>208</v>
      </c>
      <c r="D14" s="146" t="s">
        <v>209</v>
      </c>
      <c r="E14" s="173">
        <v>61.83</v>
      </c>
      <c r="F14" s="171"/>
      <c r="G14" s="187">
        <v>1</v>
      </c>
      <c r="H14" s="185">
        <f>'Atommassen Wertigkeit'!E15*G14/E14</f>
        <v>0.17483422286915737</v>
      </c>
      <c r="I14" s="171"/>
      <c r="J14" s="175"/>
      <c r="K14" s="189"/>
      <c r="L14" s="186"/>
      <c r="N14" s="210"/>
      <c r="O14" s="171"/>
      <c r="P14" s="173">
        <v>49.2</v>
      </c>
    </row>
    <row r="15" spans="2:16" ht="15.75" thickBot="1" x14ac:dyDescent="0.3">
      <c r="B15" s="329" t="s">
        <v>152</v>
      </c>
      <c r="C15" s="148" t="s">
        <v>153</v>
      </c>
      <c r="D15" s="148" t="s">
        <v>154</v>
      </c>
      <c r="E15" s="172">
        <v>41.99</v>
      </c>
      <c r="F15" s="171"/>
      <c r="G15" s="188">
        <v>1</v>
      </c>
      <c r="H15" s="185">
        <f>'Atommassen Wertigkeit'!E16*G15/E15</f>
        <v>0.45245058347225531</v>
      </c>
      <c r="I15" s="171"/>
      <c r="J15" s="176" t="s">
        <v>17</v>
      </c>
      <c r="K15" s="190">
        <v>1</v>
      </c>
      <c r="L15" s="186">
        <f>'Atommassen Wertigkeit'!E5*K15/E15</f>
        <v>0.54751131221719451</v>
      </c>
      <c r="N15" s="210">
        <f t="shared" si="0"/>
        <v>0.82637668551544163</v>
      </c>
      <c r="O15" s="171"/>
      <c r="P15" s="172">
        <v>42</v>
      </c>
    </row>
    <row r="16" spans="2:16" ht="15.75" thickBot="1" x14ac:dyDescent="0.3">
      <c r="B16" s="322"/>
      <c r="C16" s="146" t="s">
        <v>155</v>
      </c>
      <c r="D16" s="146" t="s">
        <v>156</v>
      </c>
      <c r="E16" s="173">
        <v>58.1</v>
      </c>
      <c r="F16" s="171"/>
      <c r="G16" s="187">
        <v>1</v>
      </c>
      <c r="H16" s="185">
        <f>'Atommassen Wertigkeit'!E16*G16/E16</f>
        <v>0.32699483648881239</v>
      </c>
      <c r="I16" s="171"/>
      <c r="J16" s="176" t="s">
        <v>18</v>
      </c>
      <c r="K16" s="189">
        <v>1</v>
      </c>
      <c r="L16" s="186">
        <f>'Atommassen Wertigkeit'!E8*K16/E16</f>
        <v>0.67294836488812393</v>
      </c>
      <c r="N16" s="210">
        <f t="shared" si="0"/>
        <v>0.4859137098032395</v>
      </c>
      <c r="O16" s="171"/>
      <c r="P16" s="173">
        <v>485</v>
      </c>
    </row>
    <row r="17" spans="2:16" ht="30.75" thickBot="1" x14ac:dyDescent="0.3">
      <c r="B17" s="261" t="s">
        <v>85</v>
      </c>
      <c r="C17" s="148" t="s">
        <v>211</v>
      </c>
      <c r="D17" s="148" t="s">
        <v>212</v>
      </c>
      <c r="E17" s="172">
        <v>84.006600000000006</v>
      </c>
      <c r="F17" s="171"/>
      <c r="G17" s="188">
        <v>1</v>
      </c>
      <c r="H17" s="185">
        <f>'Atommassen Wertigkeit'!E18*G17/E17</f>
        <v>0.7263334071370583</v>
      </c>
      <c r="I17" s="171"/>
      <c r="J17" s="176" t="s">
        <v>17</v>
      </c>
      <c r="K17" s="190">
        <v>1</v>
      </c>
      <c r="L17" s="186">
        <f>'Atommassen Wertigkeit'!E5*K17/E17</f>
        <v>0.27366897362826248</v>
      </c>
      <c r="N17" s="210">
        <f>H17/L17</f>
        <v>2.6540582862113968</v>
      </c>
      <c r="O17" s="171"/>
      <c r="P17" s="172">
        <v>93.4</v>
      </c>
    </row>
  </sheetData>
  <sheetProtection algorithmName="SHA-512" hashValue="RcYEL+Z9nCDAavGYDMfV2Kh+rzFBa05LPjUNfTExGozQiMn/6/8qvXTY5f+zAalLy0pWKqYqmntnXFn/mAmaGQ==" saltValue="LCgVPljnVxci2nVBY3DBDw==" spinCount="100000" sheet="1" objects="1" scenarios="1" selectLockedCells="1"/>
  <mergeCells count="16">
    <mergeCell ref="B11:B12"/>
    <mergeCell ref="B15:B16"/>
    <mergeCell ref="J2:J3"/>
    <mergeCell ref="B13:B14"/>
    <mergeCell ref="P2:P3"/>
    <mergeCell ref="B4:B5"/>
    <mergeCell ref="B8:B9"/>
    <mergeCell ref="H2:H3"/>
    <mergeCell ref="B2:B3"/>
    <mergeCell ref="C2:C3"/>
    <mergeCell ref="E2:E3"/>
    <mergeCell ref="G2:G3"/>
    <mergeCell ref="D2:D3"/>
    <mergeCell ref="K2:K3"/>
    <mergeCell ref="L2:L3"/>
    <mergeCell ref="N2:N3"/>
  </mergeCells>
  <pageMargins left="0.7" right="0.7" top="0.78740157499999996" bottom="0.78740157499999996" header="0.3" footer="0.3"/>
  <pageSetup paperSize="9" orientation="portrait" r:id="rId1"/>
  <ignoredErrors>
    <ignoredError sqref="L12 L9 L5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A933A-07C0-4A3D-B780-0B98766509C6}">
  <sheetPr codeName="Tabelle7"/>
  <dimension ref="B2:K23"/>
  <sheetViews>
    <sheetView showGridLines="0" zoomScale="120" zoomScaleNormal="120" workbookViewId="0">
      <selection activeCell="Q23" sqref="Q23"/>
    </sheetView>
  </sheetViews>
  <sheetFormatPr baseColWidth="10" defaultRowHeight="15" x14ac:dyDescent="0.25"/>
  <cols>
    <col min="1" max="1" width="2.42578125" customWidth="1"/>
    <col min="2" max="2" width="4.7109375" bestFit="1" customWidth="1"/>
    <col min="5" max="5" width="12.85546875" bestFit="1" customWidth="1"/>
    <col min="7" max="7" width="12.85546875" customWidth="1"/>
    <col min="8" max="8" width="5.28515625" customWidth="1"/>
    <col min="9" max="9" width="11.42578125" customWidth="1"/>
  </cols>
  <sheetData>
    <row r="2" spans="2:11" x14ac:dyDescent="0.25">
      <c r="C2" s="79" t="s">
        <v>33</v>
      </c>
      <c r="D2" s="79" t="s">
        <v>4</v>
      </c>
      <c r="E2" s="79" t="s">
        <v>34</v>
      </c>
      <c r="F2" s="79" t="s">
        <v>35</v>
      </c>
      <c r="G2" s="79" t="s">
        <v>36</v>
      </c>
    </row>
    <row r="3" spans="2:11" ht="6.75" customHeight="1" x14ac:dyDescent="0.25">
      <c r="C3" s="78"/>
      <c r="D3" s="78"/>
      <c r="E3" s="78"/>
      <c r="F3" s="78"/>
      <c r="G3" s="78"/>
    </row>
    <row r="4" spans="2:11" ht="16.5" thickBot="1" x14ac:dyDescent="0.3">
      <c r="C4" s="76" t="s">
        <v>50</v>
      </c>
      <c r="D4" s="77" t="s">
        <v>51</v>
      </c>
      <c r="E4" s="77" t="s">
        <v>52</v>
      </c>
      <c r="F4" s="77" t="s">
        <v>53</v>
      </c>
      <c r="G4" s="77" t="s">
        <v>69</v>
      </c>
      <c r="I4" s="2" t="s">
        <v>90</v>
      </c>
    </row>
    <row r="5" spans="2:11" ht="17.25" x14ac:dyDescent="0.25">
      <c r="B5" s="339" t="s">
        <v>11</v>
      </c>
      <c r="C5" s="36" t="s">
        <v>17</v>
      </c>
      <c r="D5" s="37" t="s">
        <v>58</v>
      </c>
      <c r="E5" s="38">
        <v>22.99</v>
      </c>
      <c r="F5" s="45">
        <v>1</v>
      </c>
      <c r="G5" s="39">
        <f>E5/F5</f>
        <v>22.99</v>
      </c>
      <c r="I5" s="60" t="s">
        <v>83</v>
      </c>
    </row>
    <row r="6" spans="2:11" ht="17.25" x14ac:dyDescent="0.25">
      <c r="B6" s="340"/>
      <c r="C6" s="22" t="s">
        <v>20</v>
      </c>
      <c r="D6" s="23" t="s">
        <v>57</v>
      </c>
      <c r="E6" s="24">
        <v>24.305</v>
      </c>
      <c r="F6" s="25">
        <v>2</v>
      </c>
      <c r="G6" s="40">
        <f t="shared" ref="G6:G12" si="0">E6/F6</f>
        <v>12.1525</v>
      </c>
    </row>
    <row r="7" spans="2:11" ht="17.25" x14ac:dyDescent="0.25">
      <c r="B7" s="340"/>
      <c r="C7" s="22" t="s">
        <v>19</v>
      </c>
      <c r="D7" s="23" t="s">
        <v>56</v>
      </c>
      <c r="E7" s="24">
        <v>40.078000000000003</v>
      </c>
      <c r="F7" s="25">
        <v>2</v>
      </c>
      <c r="G7" s="40">
        <f t="shared" si="0"/>
        <v>20.039000000000001</v>
      </c>
      <c r="I7" s="50" t="s">
        <v>81</v>
      </c>
      <c r="J7" s="51"/>
      <c r="K7" s="52"/>
    </row>
    <row r="8" spans="2:11" ht="17.25" x14ac:dyDescent="0.25">
      <c r="B8" s="340"/>
      <c r="C8" s="22" t="s">
        <v>18</v>
      </c>
      <c r="D8" s="23" t="s">
        <v>59</v>
      </c>
      <c r="E8" s="24">
        <v>39.098300000000002</v>
      </c>
      <c r="F8" s="25">
        <v>1</v>
      </c>
      <c r="G8" s="40">
        <f t="shared" si="0"/>
        <v>39.098300000000002</v>
      </c>
      <c r="I8" s="53" t="s">
        <v>82</v>
      </c>
      <c r="J8" s="54"/>
      <c r="K8" s="55"/>
    </row>
    <row r="9" spans="2:11" ht="17.25" x14ac:dyDescent="0.25">
      <c r="B9" s="340"/>
      <c r="C9" s="26" t="s">
        <v>21</v>
      </c>
      <c r="D9" s="27" t="s">
        <v>73</v>
      </c>
      <c r="E9" s="28">
        <v>87.62</v>
      </c>
      <c r="F9" s="29">
        <v>2</v>
      </c>
      <c r="G9" s="46">
        <f t="shared" si="0"/>
        <v>43.81</v>
      </c>
      <c r="I9" s="56"/>
      <c r="J9" s="54"/>
      <c r="K9" s="55"/>
    </row>
    <row r="10" spans="2:11" ht="18" thickBot="1" x14ac:dyDescent="0.3">
      <c r="B10" s="341"/>
      <c r="C10" s="47" t="s">
        <v>16</v>
      </c>
      <c r="D10" s="48" t="s">
        <v>74</v>
      </c>
      <c r="E10" s="49">
        <v>6.9409999999999998</v>
      </c>
      <c r="F10" s="48">
        <v>1</v>
      </c>
      <c r="G10" s="44">
        <f t="shared" si="0"/>
        <v>6.9409999999999998</v>
      </c>
      <c r="I10" s="57"/>
      <c r="J10" s="58"/>
      <c r="K10" s="59"/>
    </row>
    <row r="11" spans="2:11" ht="15.75" thickBot="1" x14ac:dyDescent="0.3">
      <c r="B11" s="21"/>
      <c r="C11" s="17"/>
      <c r="D11" s="18"/>
      <c r="E11" s="19"/>
      <c r="F11" s="18"/>
      <c r="G11" s="20"/>
    </row>
    <row r="12" spans="2:11" ht="17.25" customHeight="1" x14ac:dyDescent="0.25">
      <c r="B12" s="342" t="s">
        <v>12</v>
      </c>
      <c r="C12" s="36" t="s">
        <v>55</v>
      </c>
      <c r="D12" s="37" t="s">
        <v>63</v>
      </c>
      <c r="E12" s="38">
        <v>35.450000000000003</v>
      </c>
      <c r="F12" s="37">
        <v>1</v>
      </c>
      <c r="G12" s="39">
        <f t="shared" si="0"/>
        <v>35.450000000000003</v>
      </c>
    </row>
    <row r="13" spans="2:11" ht="18.75" x14ac:dyDescent="0.25">
      <c r="B13" s="343"/>
      <c r="C13" s="80" t="s">
        <v>22</v>
      </c>
      <c r="D13" s="23" t="s">
        <v>65</v>
      </c>
      <c r="E13" s="24">
        <v>96.057599999999994</v>
      </c>
      <c r="F13" s="23">
        <v>2</v>
      </c>
      <c r="G13" s="40">
        <f t="shared" ref="G13:G23" si="1">E13/F13</f>
        <v>48.028799999999997</v>
      </c>
      <c r="I13" s="61" t="s">
        <v>76</v>
      </c>
      <c r="J13" s="62"/>
      <c r="K13" s="182">
        <v>32.064999999999998</v>
      </c>
    </row>
    <row r="14" spans="2:11" ht="18" x14ac:dyDescent="0.25">
      <c r="B14" s="343"/>
      <c r="C14" s="30" t="s">
        <v>72</v>
      </c>
      <c r="D14" s="31" t="s">
        <v>60</v>
      </c>
      <c r="E14" s="32">
        <v>79.903999999999996</v>
      </c>
      <c r="F14" s="31">
        <v>1</v>
      </c>
      <c r="G14" s="40">
        <f t="shared" si="1"/>
        <v>79.903999999999996</v>
      </c>
      <c r="I14" s="63" t="s">
        <v>91</v>
      </c>
      <c r="J14" s="64"/>
      <c r="K14" s="183">
        <v>96.057599999999994</v>
      </c>
    </row>
    <row r="15" spans="2:11" ht="17.25" x14ac:dyDescent="0.25">
      <c r="B15" s="343"/>
      <c r="C15" s="22" t="s">
        <v>24</v>
      </c>
      <c r="D15" s="23" t="s">
        <v>78</v>
      </c>
      <c r="E15" s="24">
        <v>10.81</v>
      </c>
      <c r="F15" s="23">
        <v>1</v>
      </c>
      <c r="G15" s="40">
        <f t="shared" si="1"/>
        <v>10.81</v>
      </c>
      <c r="I15" s="65" t="s">
        <v>75</v>
      </c>
      <c r="J15" s="66" t="s">
        <v>77</v>
      </c>
      <c r="K15" s="184">
        <f>K13/K14</f>
        <v>0.33381013058831366</v>
      </c>
    </row>
    <row r="16" spans="2:11" ht="17.25" x14ac:dyDescent="0.25">
      <c r="B16" s="343"/>
      <c r="C16" s="22" t="s">
        <v>80</v>
      </c>
      <c r="D16" s="23" t="s">
        <v>79</v>
      </c>
      <c r="E16" s="24">
        <v>18.9984</v>
      </c>
      <c r="F16" s="23">
        <v>1</v>
      </c>
      <c r="G16" s="40">
        <f t="shared" si="1"/>
        <v>18.9984</v>
      </c>
    </row>
    <row r="17" spans="2:7" ht="17.25" x14ac:dyDescent="0.25">
      <c r="B17" s="343"/>
      <c r="C17" s="22" t="s">
        <v>41</v>
      </c>
      <c r="D17" s="23" t="s">
        <v>161</v>
      </c>
      <c r="E17" s="24">
        <v>126.90447</v>
      </c>
      <c r="F17" s="23">
        <v>1</v>
      </c>
      <c r="G17" s="40">
        <f t="shared" si="1"/>
        <v>126.90447</v>
      </c>
    </row>
    <row r="18" spans="2:7" ht="30" x14ac:dyDescent="0.25">
      <c r="B18" s="343"/>
      <c r="C18" s="22" t="s">
        <v>85</v>
      </c>
      <c r="D18" s="23" t="s">
        <v>62</v>
      </c>
      <c r="E18" s="24">
        <v>61.016800000000003</v>
      </c>
      <c r="F18" s="23">
        <v>1</v>
      </c>
      <c r="G18" s="40">
        <f t="shared" si="1"/>
        <v>61.016800000000003</v>
      </c>
    </row>
    <row r="19" spans="2:7" ht="18.75" x14ac:dyDescent="0.25">
      <c r="B19" s="343"/>
      <c r="C19" s="22" t="s">
        <v>103</v>
      </c>
      <c r="D19" s="23" t="s">
        <v>104</v>
      </c>
      <c r="E19" s="24">
        <v>60.008899999999997</v>
      </c>
      <c r="F19" s="23">
        <v>2</v>
      </c>
      <c r="G19" s="40">
        <f t="shared" si="1"/>
        <v>30.004449999999999</v>
      </c>
    </row>
    <row r="20" spans="2:7" ht="18.75" x14ac:dyDescent="0.25">
      <c r="B20" s="344"/>
      <c r="C20" s="22" t="s">
        <v>54</v>
      </c>
      <c r="D20" s="23" t="s">
        <v>61</v>
      </c>
      <c r="E20" s="24">
        <v>18.038460000000001</v>
      </c>
      <c r="F20" s="23">
        <v>1</v>
      </c>
      <c r="G20" s="40">
        <f t="shared" si="1"/>
        <v>18.038460000000001</v>
      </c>
    </row>
    <row r="21" spans="2:7" ht="18.75" x14ac:dyDescent="0.25">
      <c r="B21" s="344"/>
      <c r="C21" s="14" t="s">
        <v>23</v>
      </c>
      <c r="D21" s="15" t="s">
        <v>64</v>
      </c>
      <c r="E21" s="16">
        <v>62.004899999999999</v>
      </c>
      <c r="F21" s="15">
        <v>1</v>
      </c>
      <c r="G21" s="40">
        <f t="shared" si="1"/>
        <v>62.004899999999999</v>
      </c>
    </row>
    <row r="22" spans="2:7" ht="18.75" x14ac:dyDescent="0.25">
      <c r="B22" s="344"/>
      <c r="C22" s="33" t="s">
        <v>26</v>
      </c>
      <c r="D22" s="15" t="s">
        <v>84</v>
      </c>
      <c r="E22" s="16">
        <v>46.005499999999998</v>
      </c>
      <c r="F22" s="15">
        <v>1</v>
      </c>
      <c r="G22" s="40">
        <f t="shared" si="1"/>
        <v>46.005499999999998</v>
      </c>
    </row>
    <row r="23" spans="2:7" ht="19.5" thickBot="1" x14ac:dyDescent="0.3">
      <c r="B23" s="345"/>
      <c r="C23" s="41" t="s">
        <v>40</v>
      </c>
      <c r="D23" s="42" t="s">
        <v>66</v>
      </c>
      <c r="E23" s="43">
        <v>94.971400000000003</v>
      </c>
      <c r="F23" s="42">
        <v>3</v>
      </c>
      <c r="G23" s="44">
        <f t="shared" si="1"/>
        <v>31.657133333333334</v>
      </c>
    </row>
  </sheetData>
  <sheetProtection algorithmName="SHA-512" hashValue="rzTpOoTXpVTTabZbTOedXPIoaJQtoBmHQyWH2iAVwsj5uTx23q53kkU5Kmtd+DI4Ym4Z7RlRZSTPsCSAwZ6e8w==" saltValue="fyNW5aU/P+wO4DJruc08xQ==" spinCount="100000" sheet="1" objects="1" scenarios="1" selectLockedCells="1"/>
  <mergeCells count="2">
    <mergeCell ref="B5:B10"/>
    <mergeCell ref="B12:B23"/>
  </mergeCells>
  <hyperlinks>
    <hyperlink ref="I5" r:id="rId1" xr:uid="{C011ED61-6AE7-4306-AAAB-C0A75E5EE60C}"/>
  </hyperlinks>
  <pageMargins left="0.7" right="0.7" top="0.78740157499999996" bottom="0.78740157499999996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9</vt:i4>
      </vt:variant>
    </vt:vector>
  </HeadingPairs>
  <TitlesOfParts>
    <vt:vector size="9" baseType="lpstr">
      <vt:lpstr>Beschreibung</vt:lpstr>
      <vt:lpstr>Messergebnisse</vt:lpstr>
      <vt:lpstr>0.5% IB</vt:lpstr>
      <vt:lpstr>IB</vt:lpstr>
      <vt:lpstr>Hauptelemente</vt:lpstr>
      <vt:lpstr>Ausgleich Defizit</vt:lpstr>
      <vt:lpstr>Ammonium_Ammoniak</vt:lpstr>
      <vt:lpstr>Salze</vt:lpstr>
      <vt:lpstr>Atommassen Wertigkeit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Dieter Kreissl</dc:creator>
  <cp:lastModifiedBy>Dieter Kreissl</cp:lastModifiedBy>
  <cp:lastPrinted>2016-06-06T14:23:06Z</cp:lastPrinted>
  <dcterms:created xsi:type="dcterms:W3CDTF">2015-10-30T14:02:13Z</dcterms:created>
  <dcterms:modified xsi:type="dcterms:W3CDTF">2023-08-16T10:02:59Z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eNoCounter">
    <vt:lpwstr>0048160612</vt:lpwstr>
  </property>
</Properties>
</file>